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comments/comment2.xml" ContentType="application/vnd.openxmlformats-officedocument.spreadsheetml.comments+xml"/>
  <Override PartName="/xl/worksheets/sheet3.xml" ContentType="application/vnd.openxmlformats-officedocument.spreadsheetml.worksheet+xml"/>
  <Override PartName="/xl/comments/comment3.xml" ContentType="application/vnd.openxmlformats-officedocument.spreadsheetml.comments+xml"/>
  <Override PartName="/xl/worksheets/sheet4.xml" ContentType="application/vnd.openxmlformats-officedocument.spreadsheetml.worksheet+xml"/>
  <Override PartName="/xl/comments/comment4.xml" ContentType="application/vnd.openxmlformats-officedocument.spreadsheetml.comment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/comment5.xml" ContentType="application/vnd.openxmlformats-officedocument.spreadsheetml.comments+xml"/>
  <Override PartName="/xl/worksheets/sheet7.xml" ContentType="application/vnd.openxmlformats-officedocument.spreadsheetml.worksheet+xml"/>
  <Override PartName="/xl/comments/comment6.xml" ContentType="application/vnd.openxmlformats-officedocument.spreadsheetml.comment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omments/comment7.xml" ContentType="application/vnd.openxmlformats-officedocument.spreadsheetml.comments+xml"/>
  <Override PartName="/xl/worksheets/sheet10.xml" ContentType="application/vnd.openxmlformats-officedocument.spreadsheetml.worksheet+xml"/>
  <Override PartName="/xl/comments/comment8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enue Model" sheetId="1" state="visible" r:id="rId1"/>
    <sheet xmlns:r="http://schemas.openxmlformats.org/officeDocument/2006/relationships" name="Income Statement" sheetId="2" state="visible" r:id="rId2"/>
    <sheet xmlns:r="http://schemas.openxmlformats.org/officeDocument/2006/relationships" name="Balance Sheet" sheetId="3" state="visible" r:id="rId3"/>
    <sheet xmlns:r="http://schemas.openxmlformats.org/officeDocument/2006/relationships" name="Cash Flow" sheetId="4" state="visible" r:id="rId4"/>
    <sheet xmlns:r="http://schemas.openxmlformats.org/officeDocument/2006/relationships" name="Scenarios" sheetId="5" state="visible" r:id="rId5"/>
    <sheet xmlns:r="http://schemas.openxmlformats.org/officeDocument/2006/relationships" name="DCF Inputs" sheetId="6" state="visible" r:id="rId6"/>
    <sheet xmlns:r="http://schemas.openxmlformats.org/officeDocument/2006/relationships" name="DCF-DDM" sheetId="7" state="visible" r:id="rId7"/>
    <sheet xmlns:r="http://schemas.openxmlformats.org/officeDocument/2006/relationships" name="Sensitivity" sheetId="8" state="visible" r:id="rId8"/>
    <sheet xmlns:r="http://schemas.openxmlformats.org/officeDocument/2006/relationships" name="Comps" sheetId="9" state="visible" r:id="rId9"/>
    <sheet xmlns:r="http://schemas.openxmlformats.org/officeDocument/2006/relationships" name="Valuation Summary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0;(#,##0.0)"/>
    <numFmt numFmtId="165" formatCode="0.0%"/>
    <numFmt numFmtId="166" formatCode="#,##0;(#,##0)"/>
    <numFmt numFmtId="167" formatCode="0.000"/>
  </numFmts>
  <fonts count="11">
    <font>
      <name val="Calibri"/>
      <family val="2"/>
      <color theme="1"/>
      <sz val="11"/>
      <scheme val="minor"/>
    </font>
    <font>
      <name val="Tahoma"/>
      <b val="1"/>
      <color rgb="001F4E79"/>
      <sz val="13"/>
    </font>
    <font>
      <name val="Tahoma"/>
      <i val="1"/>
      <color rgb="005B6B7A"/>
      <sz val="9"/>
    </font>
    <font>
      <name val="Tahoma"/>
      <b val="1"/>
      <color rgb="00FFFFFF"/>
      <sz val="10"/>
    </font>
    <font>
      <name val="Tahoma"/>
      <b val="1"/>
      <color rgb="009A6B23"/>
      <sz val="10"/>
    </font>
    <font>
      <name val="Tahoma"/>
      <sz val="10"/>
    </font>
    <font>
      <name val="Tahoma"/>
      <color rgb="00000000"/>
      <sz val="10"/>
    </font>
    <font>
      <name val="Tahoma"/>
      <color rgb="000000CC"/>
      <sz val="10"/>
    </font>
    <font>
      <name val="Tahoma"/>
      <b val="1"/>
      <sz val="10"/>
    </font>
    <font>
      <name val="Tahoma"/>
      <b val="1"/>
      <color rgb="00000000"/>
      <sz val="10"/>
    </font>
    <font>
      <name val="Tahoma"/>
      <color rgb="00006100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6F3EE"/>
      </patternFill>
    </fill>
  </fills>
  <borders count="2">
    <border>
      <left/>
      <right/>
      <top/>
      <bottom/>
      <diagonal/>
    </border>
    <border>
      <top style="thin">
        <color rgb="001F4E79"/>
      </top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3" borderId="0" pivotButton="0" quotePrefix="0" xfId="0"/>
    <xf numFmtId="0" fontId="0" fillId="3" borderId="0" pivotButton="0" quotePrefix="0" xfId="0"/>
    <xf numFmtId="0" fontId="5" fillId="0" borderId="0" pivotButton="0" quotePrefix="0" xfId="0"/>
    <xf numFmtId="164" fontId="6" fillId="0" borderId="0" pivotButton="0" quotePrefix="0" xfId="0"/>
    <xf numFmtId="165" fontId="6" fillId="0" borderId="0" pivotButton="0" quotePrefix="0" xfId="0"/>
    <xf numFmtId="165" fontId="7" fillId="0" borderId="0" pivotButton="0" quotePrefix="0" xfId="0"/>
    <xf numFmtId="0" fontId="8" fillId="0" borderId="0" pivotButton="0" quotePrefix="0" xfId="0"/>
    <xf numFmtId="164" fontId="9" fillId="0" borderId="0" pivotButton="0" quotePrefix="0" xfId="0"/>
    <xf numFmtId="10" fontId="6" fillId="0" borderId="0" pivotButton="0" quotePrefix="0" xfId="0"/>
    <xf numFmtId="10" fontId="7" fillId="0" borderId="0" pivotButton="0" quotePrefix="0" xfId="0"/>
    <xf numFmtId="164" fontId="7" fillId="0" borderId="0" pivotButton="0" quotePrefix="0" xfId="0"/>
    <xf numFmtId="164" fontId="9" fillId="0" borderId="1" pivotButton="0" quotePrefix="0" xfId="0"/>
    <xf numFmtId="164" fontId="10" fillId="0" borderId="0" pivotButton="0" quotePrefix="0" xfId="0"/>
    <xf numFmtId="166" fontId="6" fillId="0" borderId="0" pivotButton="0" quotePrefix="0" xfId="0"/>
    <xf numFmtId="166" fontId="7" fillId="0" borderId="0" pivotButton="0" quotePrefix="0" xfId="0"/>
    <xf numFmtId="2" fontId="6" fillId="0" borderId="0" pivotButton="0" quotePrefix="0" xfId="0"/>
    <xf numFmtId="10" fontId="10" fillId="0" borderId="0" pivotButton="0" quotePrefix="0" xfId="0"/>
    <xf numFmtId="165" fontId="10" fillId="0" borderId="0" pivotButton="0" quotePrefix="0" xfId="0"/>
    <xf numFmtId="2" fontId="9" fillId="0" borderId="0" pivotButton="0" quotePrefix="0" xfId="0"/>
    <xf numFmtId="2" fontId="7" fillId="0" borderId="0" pivotButton="0" quotePrefix="0" xfId="0"/>
    <xf numFmtId="10" fontId="9" fillId="0" borderId="0" pivotButton="0" quotePrefix="0" xfId="0"/>
    <xf numFmtId="2" fontId="10" fillId="0" borderId="0" pivotButton="0" quotePrefix="0" xfId="0"/>
    <xf numFmtId="167" fontId="5" fillId="0" borderId="0" pivotButton="0" quotePrefix="0" xfId="0"/>
    <xf numFmtId="2" fontId="8" fillId="0" borderId="0" pivotButton="0" quotePrefix="0" xfId="0"/>
    <xf numFmtId="2" fontId="5" fillId="0" borderId="0" pivotButton="0" quotePrefix="0" xfId="0"/>
    <xf numFmtId="2" fontId="8" fillId="0" borderId="1" pivotButton="0" quotePrefix="0" xfId="0"/>
    <xf numFmtId="165" fontId="3" fillId="2" borderId="0" pivotButton="0" quotePrefix="0" xfId="0"/>
    <xf numFmtId="2" fontId="5" fillId="3" borderId="0" pivotButton="0" quotePrefix="0" xfId="0"/>
    <xf numFmtId="10" fontId="3" fillId="2" borderId="0" pivotButton="0" quotePrefix="0" xfId="0"/>
    <xf numFmtId="0" fontId="3" fillId="2" borderId="0" pivotButton="0" quotePrefix="0" xfId="0"/>
    <xf numFmtId="3" fontId="5" fillId="0" borderId="0" pivotButton="0" quotePrefix="0" xfId="0"/>
    <xf numFmtId="165" fontId="5" fillId="0" borderId="0" pivotButton="0" quotePrefix="0" xfId="0"/>
    <xf numFmtId="165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comments/comment1.xml><?xml version="1.0" encoding="utf-8"?>
<comments xmlns="http://schemas.openxmlformats.org/spreadsheetml/2006/main">
  <authors>
    <author>Associate</author>
  </authors>
  <commentList>
    <comment ref="G8" authorId="0" shapeId="0">
      <text>
        <t>2026 per management guidance: net financing &amp; sukuk growth ~10% (H1 2026 earnings call, 15 Jul 2026). Tapering thereafter.</t>
      </text>
    </comment>
    <comment ref="G10" authorId="0" shapeId="0">
      <text>
        <t>Sukuk book declined 6% in H1 2026 (AED 85.2bn); assume flat FY2026 then 6% growth.</t>
      </text>
    </comment>
    <comment ref="G15" authorId="0" shapeId="0">
      <text>
        <t>FY2025 actual 6.04%, H1 2026 annualized 5.70% on this basis. Declines with expected Fed/EIBOR easing.</t>
      </text>
    </comment>
    <comment ref="G23" authorId="0" shapeId="0">
      <text>
        <t>H1 2026 balance AED 16.6bn after maturities; assume re-issuance to ~AED 20bn by year-end 2026.</t>
      </text>
    </comment>
    <comment ref="G39" authorId="0" shapeId="0">
      <text>
        <t>H1 2026 other income AED 785m (elevated); 2026E AED 1.0bn then normalizing.</t>
      </text>
    </comment>
  </commentList>
</comments>
</file>

<file path=xl/comments/comment2.xml><?xml version="1.0" encoding="utf-8"?>
<comments xmlns="http://schemas.openxmlformats.org/spreadsheetml/2006/main">
  <authors>
    <author>Associate</author>
  </authors>
  <commentList>
    <comment ref="G21" authorId="0" shapeId="0">
      <text>
        <t>Projected +5.0% p.a. (edit multiplier in formula).</t>
      </text>
    </comment>
    <comment ref="G30" authorId="0" shapeId="0">
      <text>
        <t>H1 2026 actual 28bps; normalizing toward mid-cycle 45bps.</t>
      </text>
    </comment>
    <comment ref="G34" authorId="0" shapeId="0">
      <text>
        <t>UAE CT 9% from 2024; Pillar Two 15% DMTT from 2025. FY2025 effective 13.3%, H1 2026 13.8%.</t>
      </text>
    </comment>
  </commentList>
</comments>
</file>

<file path=xl/comments/comment3.xml><?xml version="1.0" encoding="utf-8"?>
<comments xmlns="http://schemas.openxmlformats.org/spreadsheetml/2006/main">
  <authors>
    <author>Associate</author>
  </authors>
  <commentList>
    <comment ref="G7" authorId="0" shapeId="0">
      <text>
        <t>Balancing item: total liabilities + equity minus all other assets.</t>
      </text>
    </comment>
    <comment ref="G34" authorId="0" shapeId="0">
      <text>
        <t>Prior RE + attributable profit - dividends declared for the year - T1 sukuk coupons. Simplification: dividend deducted in declaration year.</t>
      </text>
    </comment>
  </commentList>
</comments>
</file>

<file path=xl/comments/comment4.xml><?xml version="1.0" encoding="utf-8"?>
<comments xmlns="http://schemas.openxmlformats.org/spreadsheetml/2006/main">
  <authors>
    <author>Associate</author>
  </authors>
  <commentList>
    <comment ref="G26" authorId="0" shapeId="0">
      <text>
        <t>Simplification: dividend for the year assumed paid in-year. Historical row is audited cash dividends incl. NCI.</t>
      </text>
    </comment>
    <comment ref="G31" authorId="0" shapeId="0">
      <text>
        <t>Captures reserve movements and simplifications (translation, equity reserve deltas, due-from-banks). Should be small.</t>
      </text>
    </comment>
  </commentList>
</comments>
</file>

<file path=xl/comments/comment5.xml><?xml version="1.0" encoding="utf-8"?>
<comments xmlns="http://schemas.openxmlformats.org/spreadsheetml/2006/main">
  <authors>
    <author>Associate</author>
  </authors>
  <commentList>
    <comment ref="G18" authorId="0" shapeId="0">
      <text>
        <t>H1 2026 disclosed RWA AED 310.4bn = 73.4% of assets; proxy 73.5% applied forward.</t>
      </text>
    </comment>
    <comment ref="G20" authorId="0" shapeId="0">
      <text>
        <t>Reported CET1: FY2025 12.3%, H1 2026 13.0%. Proxy tracks direction, not regulatory precision.</t>
      </text>
    </comment>
  </commentList>
</comments>
</file>

<file path=xl/comments/comment6.xml><?xml version="1.0" encoding="utf-8"?>
<comments xmlns="http://schemas.openxmlformats.org/spreadsheetml/2006/main">
  <authors>
    <author>Associate</author>
  </authors>
  <commentList>
    <comment ref="B15" authorId="0" shapeId="0">
      <text>
        <t>Assumes payout normalizes toward peer levels (ADIB ~50%+; DIB paid 45 fils = ~44% in 2023-24) as balance sheet growth moderates.</t>
      </text>
    </comment>
    <comment ref="B22" authorId="0" shapeId="0">
      <text>
        <t>Between near-term ~15% and model-path trough ~12.4%; assumes payout normalization supports ROTE. FY2025 actual post-tax ROTE ~17%.</t>
      </text>
    </comment>
  </commentList>
</comments>
</file>

<file path=xl/comments/comment7.xml><?xml version="1.0" encoding="utf-8"?>
<comments xmlns="http://schemas.openxmlformats.org/spreadsheetml/2006/main">
  <authors>
    <author>Associate</author>
  </authors>
  <commentList>
    <comment ref="B17" authorId="0" shapeId="0">
      <text>
        <t>Premium to SIB/Ajman (scale, franchise), discount to ADIB (ROE gap).</t>
      </text>
    </comment>
  </commentList>
</comments>
</file>

<file path=xl/comments/comment8.xml><?xml version="1.0" encoding="utf-8"?>
<comments xmlns="http://schemas.openxmlformats.org/spreadsheetml/2006/main">
  <authors>
    <author>Associate</author>
  </authors>
  <commentList>
    <comment ref="B8" authorId="0" shapeId="0">
      <text>
        <t>Historical anchors from Al Ramz 2023 initiation (10y P/B 1.63x, P/E 9.43x); P/TBV moderated to 1.40x for the post-corporate-tax era.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10.xml.rels><Relationships xmlns="http://schemas.openxmlformats.org/package/2006/relationships"><Relationship Type="http://schemas.openxmlformats.org/officeDocument/2006/relationships/comments" Target="/xl/comments/comment8.xml" Id="comments"/><Relationship Type="http://schemas.openxmlformats.org/officeDocument/2006/relationships/vmlDrawing" Target="/xl/drawings/commentsDrawing8.vml" Id="anysvml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4.xml" Id="comments"/><Relationship Type="http://schemas.openxmlformats.org/officeDocument/2006/relationships/vmlDrawing" Target="/xl/drawings/commentsDrawing4.vml" Id="anysvml"/></Relationships>
</file>

<file path=xl/worksheets/_rels/sheet6.xml.rels><Relationships xmlns="http://schemas.openxmlformats.org/package/2006/relationships"><Relationship Type="http://schemas.openxmlformats.org/officeDocument/2006/relationships/comments" Target="/xl/comments/comment5.xml" Id="comments"/><Relationship Type="http://schemas.openxmlformats.org/officeDocument/2006/relationships/vmlDrawing" Target="/xl/drawings/commentsDrawing5.vml" Id="anysvml"/></Relationships>
</file>

<file path=xl/worksheets/_rels/sheet7.xml.rels><Relationships xmlns="http://schemas.openxmlformats.org/package/2006/relationships"><Relationship Type="http://schemas.openxmlformats.org/officeDocument/2006/relationships/comments" Target="/xl/comments/comment6.xml" Id="comments"/><Relationship Type="http://schemas.openxmlformats.org/officeDocument/2006/relationships/vmlDrawing" Target="/xl/drawings/commentsDrawing6.vml" Id="anysvml"/></Relationships>
</file>

<file path=xl/worksheets/_rels/sheet9.xml.rels><Relationships xmlns="http://schemas.openxmlformats.org/package/2006/relationships"><Relationship Type="http://schemas.openxmlformats.org/officeDocument/2006/relationships/comments" Target="/xl/comments/comment7.xml" Id="comments"/><Relationship Type="http://schemas.openxmlformats.org/officeDocument/2006/relationships/vmlDrawing" Target="/xl/drawings/commentsDrawing7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>
      <c r="A1" s="1" t="inlineStr">
        <is>
          <t>Dubai Islamic Bank — Earning Assets &amp; Revenue Build</t>
        </is>
      </c>
    </row>
    <row r="2">
      <c r="A2" s="2" t="inlineStr">
        <is>
          <t>AED millions · Historicals from audited FS FY2021-2025 · Base case projections 2026E-2030E  ·  Blue = input/assumption · Black = actual/formula · Green = link</t>
        </is>
      </c>
    </row>
    <row r="4">
      <c r="B4" s="3" t="inlineStr">
        <is>
          <t>FY2021A</t>
        </is>
      </c>
      <c r="C4" s="3" t="inlineStr">
        <is>
          <t>FY2022A</t>
        </is>
      </c>
      <c r="D4" s="3" t="inlineStr">
        <is>
          <t>FY2023A</t>
        </is>
      </c>
      <c r="E4" s="3" t="inlineStr">
        <is>
          <t>FY2024A</t>
        </is>
      </c>
      <c r="F4" s="3" t="inlineStr">
        <is>
          <t>FY2025A</t>
        </is>
      </c>
      <c r="G4" s="3" t="inlineStr">
        <is>
          <t>FY2026E</t>
        </is>
      </c>
      <c r="H4" s="3" t="inlineStr">
        <is>
          <t>FY2027E</t>
        </is>
      </c>
      <c r="I4" s="3" t="inlineStr">
        <is>
          <t>FY2028E</t>
        </is>
      </c>
      <c r="J4" s="3" t="inlineStr">
        <is>
          <t>FY2029E</t>
        </is>
      </c>
      <c r="K4" s="3" t="inlineStr">
        <is>
          <t>FY2030E</t>
        </is>
      </c>
    </row>
    <row r="6">
      <c r="A6" s="4" t="inlineStr">
        <is>
          <t>A. EARNING ASSETS (end of period)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</row>
    <row r="7">
      <c r="A7" s="6" t="inlineStr">
        <is>
          <t>Net Islamic financing and investing assets</t>
        </is>
      </c>
      <c r="B7" s="7" t="n">
        <v>186690.6</v>
      </c>
      <c r="C7" s="7" t="n">
        <v>186042.6</v>
      </c>
      <c r="D7" s="7" t="n">
        <v>199453.3</v>
      </c>
      <c r="E7" s="7" t="n">
        <v>212426.7</v>
      </c>
      <c r="F7" s="7" t="n">
        <v>262055.1</v>
      </c>
      <c r="G7" s="7">
        <f>F7*(1+G8)</f>
        <v/>
      </c>
      <c r="H7" s="7">
        <f>G7*(1+H8)</f>
        <v/>
      </c>
      <c r="I7" s="7">
        <f>H7*(1+I8)</f>
        <v/>
      </c>
      <c r="J7" s="7">
        <f>I7*(1+J8)</f>
        <v/>
      </c>
      <c r="K7" s="7">
        <f>J7*(1+K8)</f>
        <v/>
      </c>
    </row>
    <row r="8">
      <c r="A8" s="6" t="inlineStr">
        <is>
          <t xml:space="preserve">   YoY growth %</t>
        </is>
      </c>
      <c r="C8" s="8">
        <f>C7/B7-1</f>
        <v/>
      </c>
      <c r="D8" s="8">
        <f>D7/C7-1</f>
        <v/>
      </c>
      <c r="E8" s="8">
        <f>E7/D7-1</f>
        <v/>
      </c>
      <c r="F8" s="8">
        <f>F7/E7-1</f>
        <v/>
      </c>
      <c r="G8" s="9" t="n">
        <v>0.1</v>
      </c>
      <c r="H8" s="9" t="n">
        <v>0.09</v>
      </c>
      <c r="I8" s="9" t="n">
        <v>0.08</v>
      </c>
      <c r="J8" s="9" t="n">
        <v>0.075</v>
      </c>
      <c r="K8" s="9" t="n">
        <v>0.07000000000000001</v>
      </c>
    </row>
    <row r="9">
      <c r="A9" s="6" t="inlineStr">
        <is>
          <t>Investments in sukuk</t>
        </is>
      </c>
      <c r="B9" s="7" t="n">
        <v>41794.4</v>
      </c>
      <c r="C9" s="7" t="n">
        <v>52228.4</v>
      </c>
      <c r="D9" s="7" t="n">
        <v>68172.2</v>
      </c>
      <c r="E9" s="7" t="n">
        <v>82160.7</v>
      </c>
      <c r="F9" s="7" t="n">
        <v>90588.60000000001</v>
      </c>
      <c r="G9" s="7">
        <f>F9*(1+G10)</f>
        <v/>
      </c>
      <c r="H9" s="7">
        <f>G9*(1+H10)</f>
        <v/>
      </c>
      <c r="I9" s="7">
        <f>H9*(1+I10)</f>
        <v/>
      </c>
      <c r="J9" s="7">
        <f>I9*(1+J10)</f>
        <v/>
      </c>
      <c r="K9" s="7">
        <f>J9*(1+K10)</f>
        <v/>
      </c>
    </row>
    <row r="10">
      <c r="A10" s="6" t="inlineStr">
        <is>
          <t xml:space="preserve">   YoY growth %</t>
        </is>
      </c>
      <c r="C10" s="8">
        <f>C9/B9-1</f>
        <v/>
      </c>
      <c r="D10" s="8">
        <f>D9/C9-1</f>
        <v/>
      </c>
      <c r="E10" s="8">
        <f>E9/D9-1</f>
        <v/>
      </c>
      <c r="F10" s="8">
        <f>F9/E9-1</f>
        <v/>
      </c>
      <c r="G10" s="9" t="n">
        <v>0</v>
      </c>
      <c r="H10" s="9" t="n">
        <v>0.06</v>
      </c>
      <c r="I10" s="9" t="n">
        <v>0.06</v>
      </c>
      <c r="J10" s="9" t="n">
        <v>0.06</v>
      </c>
      <c r="K10" s="9" t="n">
        <v>0.06</v>
      </c>
    </row>
    <row r="11">
      <c r="A11" s="10" t="inlineStr">
        <is>
          <t>Total earning assets (EOP)</t>
        </is>
      </c>
      <c r="B11" s="11">
        <f>B7+B9</f>
        <v/>
      </c>
      <c r="C11" s="11">
        <f>C7+C9</f>
        <v/>
      </c>
      <c r="D11" s="11">
        <f>D7+D9</f>
        <v/>
      </c>
      <c r="E11" s="11">
        <f>E7+E9</f>
        <v/>
      </c>
      <c r="F11" s="11">
        <f>F7+F9</f>
        <v/>
      </c>
      <c r="G11" s="11">
        <f>G7+G9</f>
        <v/>
      </c>
      <c r="H11" s="11">
        <f>H7+H9</f>
        <v/>
      </c>
      <c r="I11" s="11">
        <f>I7+I9</f>
        <v/>
      </c>
      <c r="J11" s="11">
        <f>J7+J9</f>
        <v/>
      </c>
      <c r="K11" s="11">
        <f>K7+K9</f>
        <v/>
      </c>
    </row>
    <row r="12">
      <c r="A12" s="6" t="inlineStr">
        <is>
          <t>Average earning assets</t>
        </is>
      </c>
      <c r="C12" s="7">
        <f>(C11+B11)/2</f>
        <v/>
      </c>
      <c r="D12" s="7">
        <f>(D11+C11)/2</f>
        <v/>
      </c>
      <c r="E12" s="7">
        <f>(E11+D11)/2</f>
        <v/>
      </c>
      <c r="F12" s="7">
        <f>(F11+E11)/2</f>
        <v/>
      </c>
      <c r="G12" s="7">
        <f>(G11+F11)/2</f>
        <v/>
      </c>
      <c r="H12" s="7">
        <f>(H11+G11)/2</f>
        <v/>
      </c>
      <c r="I12" s="7">
        <f>(I11+H11)/2</f>
        <v/>
      </c>
      <c r="J12" s="7">
        <f>(J11+I11)/2</f>
        <v/>
      </c>
      <c r="K12" s="7">
        <f>(K11+J11)/2</f>
        <v/>
      </c>
    </row>
    <row r="14">
      <c r="A14" s="4" t="inlineStr">
        <is>
          <t>B. FUNDED INCOME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</row>
    <row r="15">
      <c r="A15" s="6" t="inlineStr">
        <is>
          <t>Gross yield on average earning assets %</t>
        </is>
      </c>
      <c r="C15" s="12">
        <f>C16/C12</f>
        <v/>
      </c>
      <c r="D15" s="12">
        <f>D16/D12</f>
        <v/>
      </c>
      <c r="E15" s="12">
        <f>E16/E12</f>
        <v/>
      </c>
      <c r="F15" s="12">
        <f>F16/F12</f>
        <v/>
      </c>
      <c r="G15" s="13" t="n">
        <v>0.0565</v>
      </c>
      <c r="H15" s="13" t="n">
        <v>0.053</v>
      </c>
      <c r="I15" s="13" t="n">
        <v>0.051</v>
      </c>
      <c r="J15" s="13" t="n">
        <v>0.051</v>
      </c>
      <c r="K15" s="13" t="n">
        <v>0.051</v>
      </c>
    </row>
    <row r="16">
      <c r="A16" s="10" t="inlineStr">
        <is>
          <t>Income from Islamic financing and investing transactions</t>
        </is>
      </c>
      <c r="B16" s="11" t="n">
        <v>9012.700000000001</v>
      </c>
      <c r="C16" s="11" t="n">
        <v>11738.8</v>
      </c>
      <c r="D16" s="11" t="n">
        <v>17226.6</v>
      </c>
      <c r="E16" s="11" t="n">
        <v>19453.8</v>
      </c>
      <c r="F16" s="11" t="n">
        <v>19547.6</v>
      </c>
      <c r="G16" s="11">
        <f>G15*G12</f>
        <v/>
      </c>
      <c r="H16" s="11">
        <f>H15*H12</f>
        <v/>
      </c>
      <c r="I16" s="11">
        <f>I15*I12</f>
        <v/>
      </c>
      <c r="J16" s="11">
        <f>J15*J12</f>
        <v/>
      </c>
      <c r="K16" s="11">
        <f>K15*K12</f>
        <v/>
      </c>
    </row>
    <row r="18">
      <c r="A18" s="4" t="inlineStr">
        <is>
          <t>C. FUNDING BASE (end of period)</t>
        </is>
      </c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</row>
    <row r="19">
      <c r="A19" s="6" t="inlineStr">
        <is>
          <t>Customers' deposits</t>
        </is>
      </c>
      <c r="B19" s="7" t="n">
        <v>205845.1</v>
      </c>
      <c r="C19" s="7" t="n">
        <v>198636.9</v>
      </c>
      <c r="D19" s="7" t="n">
        <v>222054.2</v>
      </c>
      <c r="E19" s="7" t="n">
        <v>248545.8</v>
      </c>
      <c r="F19" s="7" t="n">
        <v>320184.4</v>
      </c>
      <c r="G19" s="7">
        <f>F19*(1+G20)</f>
        <v/>
      </c>
      <c r="H19" s="7">
        <f>G19*(1+H20)</f>
        <v/>
      </c>
      <c r="I19" s="7">
        <f>H19*(1+I20)</f>
        <v/>
      </c>
      <c r="J19" s="7">
        <f>I19*(1+J20)</f>
        <v/>
      </c>
      <c r="K19" s="7">
        <f>J19*(1+K20)</f>
        <v/>
      </c>
    </row>
    <row r="20">
      <c r="A20" s="6" t="inlineStr">
        <is>
          <t xml:space="preserve">   YoY growth %</t>
        </is>
      </c>
      <c r="C20" s="8">
        <f>C19/B19-1</f>
        <v/>
      </c>
      <c r="D20" s="8">
        <f>D19/C19-1</f>
        <v/>
      </c>
      <c r="E20" s="8">
        <f>E19/D19-1</f>
        <v/>
      </c>
      <c r="F20" s="8">
        <f>F19/E19-1</f>
        <v/>
      </c>
      <c r="G20" s="9" t="n">
        <v>0.06</v>
      </c>
      <c r="H20" s="9" t="n">
        <v>0.08500000000000001</v>
      </c>
      <c r="I20" s="9" t="n">
        <v>0.08</v>
      </c>
      <c r="J20" s="9" t="n">
        <v>0.075</v>
      </c>
      <c r="K20" s="9" t="n">
        <v>0.07000000000000001</v>
      </c>
    </row>
    <row r="21">
      <c r="A21" s="6" t="inlineStr">
        <is>
          <t xml:space="preserve">   CASA share of deposits (memo)</t>
        </is>
      </c>
      <c r="E21" s="8" t="n">
        <v>0.381</v>
      </c>
      <c r="F21" s="8" t="n">
        <v>0.343</v>
      </c>
    </row>
    <row r="22">
      <c r="A22" s="6" t="inlineStr">
        <is>
          <t>Due to banks and financial institutions</t>
        </is>
      </c>
      <c r="B22" s="7" t="n">
        <v>2583.7</v>
      </c>
      <c r="C22" s="7" t="n">
        <v>12809.5</v>
      </c>
      <c r="D22" s="7" t="n">
        <v>12967</v>
      </c>
      <c r="E22" s="7" t="n">
        <v>5854.5</v>
      </c>
      <c r="F22" s="7" t="n">
        <v>1966.4</v>
      </c>
      <c r="G22" s="14" t="n">
        <v>6000</v>
      </c>
      <c r="H22" s="14" t="n">
        <v>6000</v>
      </c>
      <c r="I22" s="14" t="n">
        <v>6000</v>
      </c>
      <c r="J22" s="14" t="n">
        <v>6000</v>
      </c>
      <c r="K22" s="14" t="n">
        <v>6000</v>
      </c>
    </row>
    <row r="23">
      <c r="A23" s="6" t="inlineStr">
        <is>
          <t>Sukuk issued (senior)</t>
        </is>
      </c>
      <c r="B23" s="7" t="n">
        <v>20562.7</v>
      </c>
      <c r="C23" s="7" t="n">
        <v>22339.7</v>
      </c>
      <c r="D23" s="7" t="n">
        <v>20481</v>
      </c>
      <c r="E23" s="7" t="n">
        <v>24154.4</v>
      </c>
      <c r="F23" s="7" t="n">
        <v>25070.7</v>
      </c>
      <c r="G23" s="14" t="n">
        <v>20000</v>
      </c>
      <c r="H23" s="14" t="n">
        <v>22000</v>
      </c>
      <c r="I23" s="14" t="n">
        <v>24000</v>
      </c>
      <c r="J23" s="14" t="n">
        <v>26000</v>
      </c>
      <c r="K23" s="14" t="n">
        <v>28000</v>
      </c>
    </row>
    <row r="24">
      <c r="A24" s="10" t="inlineStr">
        <is>
          <t>Total funding base (EOP)</t>
        </is>
      </c>
      <c r="B24" s="11">
        <f>B19+B22+B23</f>
        <v/>
      </c>
      <c r="C24" s="11">
        <f>C19+C22+C23</f>
        <v/>
      </c>
      <c r="D24" s="11">
        <f>D19+D22+D23</f>
        <v/>
      </c>
      <c r="E24" s="11">
        <f>E19+E22+E23</f>
        <v/>
      </c>
      <c r="F24" s="11">
        <f>F19+F22+F23</f>
        <v/>
      </c>
      <c r="G24" s="11">
        <f>G19+G22+G23</f>
        <v/>
      </c>
      <c r="H24" s="11">
        <f>H19+H22+H23</f>
        <v/>
      </c>
      <c r="I24" s="11">
        <f>I19+I22+I23</f>
        <v/>
      </c>
      <c r="J24" s="11">
        <f>J19+J22+J23</f>
        <v/>
      </c>
      <c r="K24" s="11">
        <f>K19+K22+K23</f>
        <v/>
      </c>
    </row>
    <row r="25">
      <c r="A25" s="6" t="inlineStr">
        <is>
          <t>Average funding base</t>
        </is>
      </c>
      <c r="C25" s="7">
        <f>(C24+B24)/2</f>
        <v/>
      </c>
      <c r="D25" s="7">
        <f>(D24+C24)/2</f>
        <v/>
      </c>
      <c r="E25" s="7">
        <f>(E24+D24)/2</f>
        <v/>
      </c>
      <c r="F25" s="7">
        <f>(F24+E24)/2</f>
        <v/>
      </c>
      <c r="G25" s="7">
        <f>(G24+F24)/2</f>
        <v/>
      </c>
      <c r="H25" s="7">
        <f>(H24+G24)/2</f>
        <v/>
      </c>
      <c r="I25" s="7">
        <f>(I24+H24)/2</f>
        <v/>
      </c>
      <c r="J25" s="7">
        <f>(J24+I24)/2</f>
        <v/>
      </c>
      <c r="K25" s="7">
        <f>(K24+J24)/2</f>
        <v/>
      </c>
    </row>
    <row r="26">
      <c r="A26" s="6" t="inlineStr">
        <is>
          <t>Cost of funds on average funding %</t>
        </is>
      </c>
      <c r="C26" s="12">
        <f>-C27/C25</f>
        <v/>
      </c>
      <c r="D26" s="12">
        <f>-D27/D25</f>
        <v/>
      </c>
      <c r="E26" s="12">
        <f>-E27/E25</f>
        <v/>
      </c>
      <c r="F26" s="12">
        <f>-F27/F25</f>
        <v/>
      </c>
      <c r="G26" s="13" t="n">
        <v>0.032</v>
      </c>
      <c r="H26" s="13" t="n">
        <v>0.0295</v>
      </c>
      <c r="I26" s="13" t="n">
        <v>0.0285</v>
      </c>
      <c r="J26" s="13" t="n">
        <v>0.0285</v>
      </c>
      <c r="K26" s="13" t="n">
        <v>0.0285</v>
      </c>
    </row>
    <row r="27">
      <c r="A27" s="6" t="inlineStr">
        <is>
          <t>Depositors' and sukuk-holders' share of profit</t>
        </is>
      </c>
      <c r="B27" s="7" t="n">
        <v>-2373.4</v>
      </c>
      <c r="C27" s="7" t="n">
        <v>-3634.3</v>
      </c>
      <c r="D27" s="7" t="n">
        <v>-8477.4</v>
      </c>
      <c r="E27" s="7" t="n">
        <v>-10504.6</v>
      </c>
      <c r="F27" s="7" t="n">
        <v>-10575.9</v>
      </c>
      <c r="G27" s="7">
        <f>-G26*G25</f>
        <v/>
      </c>
      <c r="H27" s="7">
        <f>-H26*H25</f>
        <v/>
      </c>
      <c r="I27" s="7">
        <f>-I26*I25</f>
        <v/>
      </c>
      <c r="J27" s="7">
        <f>-J26*J25</f>
        <v/>
      </c>
      <c r="K27" s="7">
        <f>-K26*K25</f>
        <v/>
      </c>
    </row>
    <row r="29">
      <c r="A29" s="10" t="inlineStr">
        <is>
          <t>NET FUNDED INCOME</t>
        </is>
      </c>
      <c r="B29" s="11">
        <f>B16+B27</f>
        <v/>
      </c>
      <c r="C29" s="11">
        <f>C16+C27</f>
        <v/>
      </c>
      <c r="D29" s="11">
        <f>D16+D27</f>
        <v/>
      </c>
      <c r="E29" s="11">
        <f>E16+E27</f>
        <v/>
      </c>
      <c r="F29" s="11">
        <f>F16+F27</f>
        <v/>
      </c>
      <c r="G29" s="11">
        <f>G16+G27</f>
        <v/>
      </c>
      <c r="H29" s="11">
        <f>H16+H27</f>
        <v/>
      </c>
      <c r="I29" s="11">
        <f>I16+I27</f>
        <v/>
      </c>
      <c r="J29" s="11">
        <f>J16+J27</f>
        <v/>
      </c>
      <c r="K29" s="11">
        <f>K16+K27</f>
        <v/>
      </c>
    </row>
    <row r="30">
      <c r="A30" s="6" t="inlineStr">
        <is>
          <t>Net profit margin (NFI / avg earning assets) %</t>
        </is>
      </c>
      <c r="C30" s="12">
        <f>C29/C12</f>
        <v/>
      </c>
      <c r="D30" s="12">
        <f>D29/D12</f>
        <v/>
      </c>
      <c r="E30" s="12">
        <f>E29/E12</f>
        <v/>
      </c>
      <c r="F30" s="12">
        <f>F29/F12</f>
        <v/>
      </c>
      <c r="G30" s="12">
        <f>G29/G12</f>
        <v/>
      </c>
      <c r="H30" s="12">
        <f>H29/H12</f>
        <v/>
      </c>
      <c r="I30" s="12">
        <f>I29/I12</f>
        <v/>
      </c>
      <c r="J30" s="12">
        <f>J29/J12</f>
        <v/>
      </c>
      <c r="K30" s="12">
        <f>K29/K12</f>
        <v/>
      </c>
    </row>
    <row r="32">
      <c r="A32" s="4" t="inlineStr">
        <is>
          <t>D. NON-FUNDED INCOME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</row>
    <row r="33">
      <c r="A33" s="6" t="inlineStr">
        <is>
          <t>Commissions, fees and FX income</t>
        </is>
      </c>
      <c r="B33" s="7" t="n">
        <v>1654.8</v>
      </c>
      <c r="C33" s="7" t="n">
        <v>1600.9</v>
      </c>
      <c r="D33" s="7" t="n">
        <v>1794.7</v>
      </c>
      <c r="E33" s="7" t="n">
        <v>1748.4</v>
      </c>
      <c r="F33" s="7" t="n">
        <v>1873.9</v>
      </c>
      <c r="G33" s="7">
        <f>F33*(1+G34)</f>
        <v/>
      </c>
      <c r="H33" s="7">
        <f>G33*(1+H34)</f>
        <v/>
      </c>
      <c r="I33" s="7">
        <f>H33*(1+I34)</f>
        <v/>
      </c>
      <c r="J33" s="7">
        <f>I33*(1+J34)</f>
        <v/>
      </c>
      <c r="K33" s="7">
        <f>J33*(1+K34)</f>
        <v/>
      </c>
    </row>
    <row r="34">
      <c r="A34" s="6" t="inlineStr">
        <is>
          <t xml:space="preserve">   YoY growth %</t>
        </is>
      </c>
      <c r="C34" s="8">
        <f>C33/B33-1</f>
        <v/>
      </c>
      <c r="D34" s="8">
        <f>D33/C33-1</f>
        <v/>
      </c>
      <c r="E34" s="8">
        <f>E33/D33-1</f>
        <v/>
      </c>
      <c r="F34" s="8">
        <f>F33/E33-1</f>
        <v/>
      </c>
      <c r="G34" s="9" t="n">
        <v>0.06</v>
      </c>
      <c r="H34" s="9" t="n">
        <v>0.06</v>
      </c>
      <c r="I34" s="9" t="n">
        <v>0.06</v>
      </c>
      <c r="J34" s="9" t="n">
        <v>0.06</v>
      </c>
      <c r="K34" s="9" t="n">
        <v>0.06</v>
      </c>
    </row>
    <row r="35">
      <c r="A35" s="6" t="inlineStr">
        <is>
          <t>Income from properties held for development and sale</t>
        </is>
      </c>
      <c r="B35" s="7" t="n">
        <v>82.5</v>
      </c>
      <c r="C35" s="7" t="n">
        <v>137.8</v>
      </c>
      <c r="D35" s="7" t="n">
        <v>237.2</v>
      </c>
      <c r="E35" s="7" t="n">
        <v>341.5</v>
      </c>
      <c r="F35" s="7" t="n">
        <v>487.5</v>
      </c>
      <c r="G35" s="14" t="n">
        <v>450</v>
      </c>
      <c r="H35" s="14" t="n">
        <v>425</v>
      </c>
      <c r="I35" s="14" t="n">
        <v>400</v>
      </c>
      <c r="J35" s="14" t="n">
        <v>400</v>
      </c>
      <c r="K35" s="14" t="n">
        <v>400</v>
      </c>
    </row>
    <row r="36">
      <c r="A36" s="6" t="inlineStr">
        <is>
          <t>Income from investment properties</t>
        </is>
      </c>
      <c r="B36" s="7" t="n">
        <v>224.6</v>
      </c>
      <c r="C36" s="7" t="n">
        <v>230.1</v>
      </c>
      <c r="D36" s="7" t="n">
        <v>343.8</v>
      </c>
      <c r="E36" s="7" t="n">
        <v>738.9</v>
      </c>
      <c r="F36" s="7" t="n">
        <v>504.7</v>
      </c>
      <c r="G36" s="14" t="n">
        <v>300</v>
      </c>
      <c r="H36" s="14" t="n">
        <v>300</v>
      </c>
      <c r="I36" s="14" t="n">
        <v>300</v>
      </c>
      <c r="J36" s="14" t="n">
        <v>300</v>
      </c>
      <c r="K36" s="14" t="n">
        <v>300</v>
      </c>
    </row>
    <row r="37">
      <c r="A37" s="6" t="inlineStr">
        <is>
          <t>Income from other investments at FV, net</t>
        </is>
      </c>
      <c r="B37" s="7" t="n">
        <v>20.6</v>
      </c>
      <c r="C37" s="7" t="n">
        <v>56.1</v>
      </c>
      <c r="D37" s="7" t="n">
        <v>30.9</v>
      </c>
      <c r="E37" s="7" t="n">
        <v>17.1</v>
      </c>
      <c r="F37" s="7" t="n">
        <v>28.2</v>
      </c>
      <c r="G37" s="14" t="n">
        <v>25</v>
      </c>
      <c r="H37" s="14" t="n">
        <v>25</v>
      </c>
      <c r="I37" s="14" t="n">
        <v>25</v>
      </c>
      <c r="J37" s="14" t="n">
        <v>25</v>
      </c>
      <c r="K37" s="14" t="n">
        <v>25</v>
      </c>
    </row>
    <row r="38">
      <c r="A38" s="6" t="inlineStr">
        <is>
          <t>Share of profit of associates and JVs</t>
        </is>
      </c>
      <c r="B38" s="7" t="n">
        <v>115.9</v>
      </c>
      <c r="C38" s="7" t="n">
        <v>128.3</v>
      </c>
      <c r="D38" s="7" t="n">
        <v>214.9</v>
      </c>
      <c r="E38" s="7" t="n">
        <v>485.3</v>
      </c>
      <c r="F38" s="7" t="n">
        <v>381.4</v>
      </c>
      <c r="G38" s="14" t="n">
        <v>400</v>
      </c>
      <c r="H38" s="14" t="n">
        <v>420</v>
      </c>
      <c r="I38" s="14" t="n">
        <v>440</v>
      </c>
      <c r="J38" s="14" t="n">
        <v>460</v>
      </c>
      <c r="K38" s="14" t="n">
        <v>480</v>
      </c>
    </row>
    <row r="39">
      <c r="A39" s="6" t="inlineStr">
        <is>
          <t>Other income</t>
        </is>
      </c>
      <c r="B39" s="7" t="n">
        <v>683.9</v>
      </c>
      <c r="C39" s="7" t="n">
        <v>209.3</v>
      </c>
      <c r="D39" s="7" t="n">
        <v>294.2</v>
      </c>
      <c r="E39" s="7" t="n">
        <v>556.1</v>
      </c>
      <c r="F39" s="7" t="n">
        <v>1003.6</v>
      </c>
      <c r="G39" s="14" t="n">
        <v>1000</v>
      </c>
      <c r="H39" s="14" t="n">
        <v>800</v>
      </c>
      <c r="I39" s="14" t="n">
        <v>800</v>
      </c>
      <c r="J39" s="14" t="n">
        <v>850</v>
      </c>
      <c r="K39" s="14" t="n">
        <v>900</v>
      </c>
    </row>
    <row r="40">
      <c r="A40" s="10" t="inlineStr">
        <is>
          <t>TOTAL NON-FUNDED INCOME</t>
        </is>
      </c>
      <c r="B40" s="11">
        <f>SUM(B33,B35:B39)</f>
        <v/>
      </c>
      <c r="C40" s="11">
        <f>SUM(C33,C35:C39)</f>
        <v/>
      </c>
      <c r="D40" s="11">
        <f>SUM(D33,D35:D39)</f>
        <v/>
      </c>
      <c r="E40" s="11">
        <f>SUM(E33,E35:E39)</f>
        <v/>
      </c>
      <c r="F40" s="11">
        <f>SUM(F33,F35:F39)</f>
        <v/>
      </c>
      <c r="G40" s="11">
        <f>SUM(G33,G35:G39)</f>
        <v/>
      </c>
      <c r="H40" s="11">
        <f>SUM(H33,H35:H39)</f>
        <v/>
      </c>
      <c r="I40" s="11">
        <f>SUM(I33,I35:I39)</f>
        <v/>
      </c>
      <c r="J40" s="11">
        <f>SUM(J33,J35:J39)</f>
        <v/>
      </c>
      <c r="K40" s="11">
        <f>SUM(K33,K35:K39)</f>
        <v/>
      </c>
    </row>
    <row r="42">
      <c r="A42" s="10" t="inlineStr">
        <is>
          <t>NET OPERATING REVENUE</t>
        </is>
      </c>
      <c r="B42" s="15">
        <f>B29+B40</f>
        <v/>
      </c>
      <c r="C42" s="15">
        <f>C29+C40</f>
        <v/>
      </c>
      <c r="D42" s="15">
        <f>D29+D40</f>
        <v/>
      </c>
      <c r="E42" s="15">
        <f>E29+E40</f>
        <v/>
      </c>
      <c r="F42" s="15">
        <f>F29+F40</f>
        <v/>
      </c>
      <c r="G42" s="15">
        <f>G29+G40</f>
        <v/>
      </c>
      <c r="H42" s="15">
        <f>H29+H40</f>
        <v/>
      </c>
      <c r="I42" s="15">
        <f>I29+I40</f>
        <v/>
      </c>
      <c r="J42" s="15">
        <f>J29+J40</f>
        <v/>
      </c>
      <c r="K42" s="15">
        <f>K29+K40</f>
        <v/>
      </c>
    </row>
    <row r="43">
      <c r="A43" s="6" t="inlineStr">
        <is>
          <t xml:space="preserve">   YoY growth %</t>
        </is>
      </c>
      <c r="C43" s="8">
        <f>C42/B42-1</f>
        <v/>
      </c>
      <c r="D43" s="8">
        <f>D42/C42-1</f>
        <v/>
      </c>
      <c r="E43" s="8">
        <f>E42/D42-1</f>
        <v/>
      </c>
      <c r="F43" s="8">
        <f>F42/E42-1</f>
        <v/>
      </c>
      <c r="G43" s="8">
        <f>G42/F42-1</f>
        <v/>
      </c>
      <c r="H43" s="8">
        <f>H42/G42-1</f>
        <v/>
      </c>
      <c r="I43" s="8">
        <f>I42/H42-1</f>
        <v/>
      </c>
      <c r="J43" s="8">
        <f>J42/I42-1</f>
        <v/>
      </c>
      <c r="K43" s="8">
        <f>K42/J42-1</f>
        <v/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13" customWidth="1" min="2" max="2"/>
    <col width="10" customWidth="1" min="3" max="3"/>
    <col width="13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DIB — Valuation Summary &amp; Recommendation</t>
        </is>
      </c>
    </row>
    <row r="2">
      <c r="A2" s="2" t="inlineStr">
        <is>
          <t>Blended four-method fair value · House rating rule: ±15% vs fair value</t>
        </is>
      </c>
    </row>
    <row r="4">
      <c r="A4" s="33" t="inlineStr">
        <is>
          <t>Method</t>
        </is>
      </c>
      <c r="B4" s="33" t="inlineStr">
        <is>
          <t>Implied value</t>
        </is>
      </c>
      <c r="C4" s="33" t="inlineStr">
        <is>
          <t>Weight</t>
        </is>
      </c>
      <c r="D4" s="33" t="inlineStr">
        <is>
          <t>Contribution</t>
        </is>
      </c>
    </row>
    <row r="5">
      <c r="A5" s="6" t="inlineStr">
        <is>
          <t>Justified P/TBV (Gordon growth on ROTE)</t>
        </is>
      </c>
      <c r="B5" s="25">
        <f>'DCF-DDM'!B25</f>
        <v/>
      </c>
      <c r="C5" s="9" t="n">
        <v>0.25</v>
      </c>
      <c r="D5" s="28">
        <f>B5*C5</f>
        <v/>
      </c>
    </row>
    <row r="6">
      <c r="A6" s="6" t="inlineStr">
        <is>
          <t>Dividend discount model</t>
        </is>
      </c>
      <c r="B6" s="25">
        <f>'DCF-DDM'!B19</f>
        <v/>
      </c>
      <c r="C6" s="9" t="n">
        <v>0.25</v>
      </c>
      <c r="D6" s="28">
        <f>B6*C6</f>
        <v/>
      </c>
    </row>
    <row r="7">
      <c r="A7" s="6" t="inlineStr">
        <is>
          <t>Trading comparables</t>
        </is>
      </c>
      <c r="B7" s="25">
        <f>'Comps'!C19</f>
        <v/>
      </c>
      <c r="C7" s="9" t="n">
        <v>0.25</v>
      </c>
      <c r="D7" s="28">
        <f>B7*C7</f>
        <v/>
      </c>
    </row>
    <row r="8">
      <c r="A8" s="6" t="inlineStr">
        <is>
          <t>Historical multiples (10y P/E 9.4x; P/TBV 1.40x)</t>
        </is>
      </c>
      <c r="B8" s="28">
        <f>AVERAGE(9.4*'Income Statement'!G42,1.4*'DCF-DDM'!B24)</f>
        <v/>
      </c>
      <c r="C8" s="9" t="n">
        <v>0.25</v>
      </c>
      <c r="D8" s="28">
        <f>B8*C8</f>
        <v/>
      </c>
    </row>
    <row r="9">
      <c r="A9" s="10" t="inlineStr">
        <is>
          <t>BLENDED FAIR VALUE (AED)</t>
        </is>
      </c>
      <c r="B9" s="29">
        <f>SUM(D5:D8)</f>
        <v/>
      </c>
      <c r="C9" s="35">
        <f>SUM(C5:C8)</f>
        <v/>
      </c>
    </row>
    <row r="11">
      <c r="A11" s="6" t="inlineStr">
        <is>
          <t>Current price (27 Aug 2026)</t>
        </is>
      </c>
      <c r="B11" s="25">
        <f>'DCF Inputs'!B31</f>
        <v/>
      </c>
    </row>
    <row r="12">
      <c r="A12" s="10" t="inlineStr">
        <is>
          <t>Upside / (downside) %</t>
        </is>
      </c>
      <c r="B12" s="36">
        <f>B9/B11-1</f>
        <v/>
      </c>
    </row>
    <row r="13">
      <c r="A13" s="10" t="inlineStr">
        <is>
          <t>RATING (house rule: &gt;+15% OW, &lt;-15% UW)</t>
        </is>
      </c>
      <c r="B13" s="10">
        <f>IF(B12&gt;0.15,"Over-Weight",IF(B12&lt;-0.15,"Under-Weight","Equal-Weight"))</f>
        <v/>
      </c>
    </row>
    <row r="15">
      <c r="A15" s="4" t="inlineStr">
        <is>
          <t>FOOTBALL FIELD RANGES (for chart generation)</t>
        </is>
      </c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  <c r="K15" s="5" t="n"/>
    </row>
    <row r="16">
      <c r="A16" s="33" t="inlineStr">
        <is>
          <t>Method</t>
        </is>
      </c>
      <c r="B16" s="33" t="inlineStr">
        <is>
          <t>Low</t>
        </is>
      </c>
      <c r="C16" s="33" t="inlineStr">
        <is>
          <t>High</t>
        </is>
      </c>
    </row>
    <row r="17">
      <c r="A17" s="6" t="inlineStr">
        <is>
          <t>Justified P/TBV</t>
        </is>
      </c>
      <c r="B17" s="28">
        <f>'Sensitivity'!B9</f>
        <v/>
      </c>
      <c r="C17" s="28">
        <f>'Sensitivity'!E7</f>
        <v/>
      </c>
    </row>
    <row r="18">
      <c r="A18" s="6" t="inlineStr">
        <is>
          <t>Dividend discount</t>
        </is>
      </c>
      <c r="B18" s="28">
        <f>'Sensitivity'!B17</f>
        <v/>
      </c>
      <c r="C18" s="28">
        <f>'Sensitivity'!E15</f>
        <v/>
      </c>
    </row>
    <row r="19">
      <c r="A19" s="6" t="inlineStr">
        <is>
          <t>Trading comparables</t>
        </is>
      </c>
      <c r="B19" s="28">
        <f>7.5*'Income Statement'!G42</f>
        <v/>
      </c>
      <c r="C19" s="28">
        <f>9.5*'Income Statement'!G42</f>
        <v/>
      </c>
    </row>
    <row r="20">
      <c r="A20" s="6" t="inlineStr">
        <is>
          <t>Historical multiples</t>
        </is>
      </c>
      <c r="B20" s="28">
        <f>8.5*'Income Statement'!G42</f>
        <v/>
      </c>
      <c r="C20" s="28">
        <f>1.5*'DCF-DDM'!B24</f>
        <v/>
      </c>
    </row>
    <row r="22">
      <c r="A22" s="6" t="inlineStr">
        <is>
          <t>Key catalysts: H2-26 margin stabilization; payout normalization; 2027 margin floor as Fed cycle ends; UAE Islamic strategy execution; index flows.</t>
        </is>
      </c>
    </row>
    <row r="23">
      <c r="A23" s="6" t="inlineStr">
        <is>
          <t>Key valuation risks: deeper NIM compression; property correction; CoR overshoot; sustained tax drag on payout.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>
      <c r="A1" s="1" t="inlineStr">
        <is>
          <t>Dubai Islamic Bank — Consolidated Income Statement</t>
        </is>
      </c>
    </row>
    <row r="2">
      <c r="A2" s="2" t="inlineStr">
        <is>
          <t>AED millions · FY2021-2025 audited · 2026E-2030E linked to Revenue Model  ·  Blue = input/assumption · Black = actual/formula · Green = link</t>
        </is>
      </c>
    </row>
    <row r="4">
      <c r="B4" s="3" t="inlineStr">
        <is>
          <t>FY2021A</t>
        </is>
      </c>
      <c r="C4" s="3" t="inlineStr">
        <is>
          <t>FY2022A</t>
        </is>
      </c>
      <c r="D4" s="3" t="inlineStr">
        <is>
          <t>FY2023A</t>
        </is>
      </c>
      <c r="E4" s="3" t="inlineStr">
        <is>
          <t>FY2024A</t>
        </is>
      </c>
      <c r="F4" s="3" t="inlineStr">
        <is>
          <t>FY2025A</t>
        </is>
      </c>
      <c r="G4" s="3" t="inlineStr">
        <is>
          <t>FY2026E</t>
        </is>
      </c>
      <c r="H4" s="3" t="inlineStr">
        <is>
          <t>FY2027E</t>
        </is>
      </c>
      <c r="I4" s="3" t="inlineStr">
        <is>
          <t>FY2028E</t>
        </is>
      </c>
      <c r="J4" s="3" t="inlineStr">
        <is>
          <t>FY2029E</t>
        </is>
      </c>
      <c r="K4" s="3" t="inlineStr">
        <is>
          <t>FY2030E</t>
        </is>
      </c>
    </row>
    <row r="6">
      <c r="A6" s="6" t="inlineStr">
        <is>
          <t>Income from Islamic financing and investing transactions</t>
        </is>
      </c>
      <c r="B6" s="7" t="n">
        <v>9012.700000000001</v>
      </c>
      <c r="C6" s="7" t="n">
        <v>11738.8</v>
      </c>
      <c r="D6" s="7" t="n">
        <v>17226.6</v>
      </c>
      <c r="E6" s="7" t="n">
        <v>19453.8</v>
      </c>
      <c r="F6" s="7" t="n">
        <v>19547.6</v>
      </c>
      <c r="G6" s="16">
        <f>'Revenue Model'!G16</f>
        <v/>
      </c>
      <c r="H6" s="16">
        <f>'Revenue Model'!H16</f>
        <v/>
      </c>
      <c r="I6" s="16">
        <f>'Revenue Model'!I16</f>
        <v/>
      </c>
      <c r="J6" s="16">
        <f>'Revenue Model'!J16</f>
        <v/>
      </c>
      <c r="K6" s="16">
        <f>'Revenue Model'!K16</f>
        <v/>
      </c>
    </row>
    <row r="7">
      <c r="A7" s="6" t="inlineStr">
        <is>
          <t>Depositors' and sukuk-holders' share of profit</t>
        </is>
      </c>
      <c r="B7" s="7" t="n">
        <v>-2373.4</v>
      </c>
      <c r="C7" s="7" t="n">
        <v>-3634.3</v>
      </c>
      <c r="D7" s="7" t="n">
        <v>-8477.4</v>
      </c>
      <c r="E7" s="7" t="n">
        <v>-10504.6</v>
      </c>
      <c r="F7" s="7" t="n">
        <v>-10575.9</v>
      </c>
      <c r="G7" s="16">
        <f>'Revenue Model'!G27</f>
        <v/>
      </c>
      <c r="H7" s="16">
        <f>'Revenue Model'!H27</f>
        <v/>
      </c>
      <c r="I7" s="16">
        <f>'Revenue Model'!I27</f>
        <v/>
      </c>
      <c r="J7" s="16">
        <f>'Revenue Model'!J27</f>
        <v/>
      </c>
      <c r="K7" s="16">
        <f>'Revenue Model'!K27</f>
        <v/>
      </c>
    </row>
    <row r="8">
      <c r="A8" s="10" t="inlineStr">
        <is>
          <t>NET FUNDED INCOME</t>
        </is>
      </c>
      <c r="B8" s="11">
        <f>B6+B7</f>
        <v/>
      </c>
      <c r="C8" s="11">
        <f>C6+C7</f>
        <v/>
      </c>
      <c r="D8" s="11">
        <f>D6+D7</f>
        <v/>
      </c>
      <c r="E8" s="11">
        <f>E6+E7</f>
        <v/>
      </c>
      <c r="F8" s="11">
        <f>F6+F7</f>
        <v/>
      </c>
      <c r="G8" s="11">
        <f>G6+G7</f>
        <v/>
      </c>
      <c r="H8" s="11">
        <f>H6+H7</f>
        <v/>
      </c>
      <c r="I8" s="11">
        <f>I6+I7</f>
        <v/>
      </c>
      <c r="J8" s="11">
        <f>J6+J7</f>
        <v/>
      </c>
      <c r="K8" s="11">
        <f>K6+K7</f>
        <v/>
      </c>
    </row>
    <row r="10">
      <c r="A10" s="6" t="inlineStr">
        <is>
          <t>Commissions, fees and FX income</t>
        </is>
      </c>
      <c r="B10" s="7" t="n">
        <v>1654.8</v>
      </c>
      <c r="C10" s="7" t="n">
        <v>1600.9</v>
      </c>
      <c r="D10" s="7" t="n">
        <v>1794.7</v>
      </c>
      <c r="E10" s="7" t="n">
        <v>1748.4</v>
      </c>
      <c r="F10" s="7" t="n">
        <v>1873.9</v>
      </c>
      <c r="G10" s="16">
        <f>'Revenue Model'!G33</f>
        <v/>
      </c>
      <c r="H10" s="16">
        <f>'Revenue Model'!H33</f>
        <v/>
      </c>
      <c r="I10" s="16">
        <f>'Revenue Model'!I33</f>
        <v/>
      </c>
      <c r="J10" s="16">
        <f>'Revenue Model'!J33</f>
        <v/>
      </c>
      <c r="K10" s="16">
        <f>'Revenue Model'!K33</f>
        <v/>
      </c>
    </row>
    <row r="11">
      <c r="A11" s="6" t="inlineStr">
        <is>
          <t>Income from other investments at FV, net</t>
        </is>
      </c>
      <c r="B11" s="7" t="n">
        <v>20.6</v>
      </c>
      <c r="C11" s="7" t="n">
        <v>56.1</v>
      </c>
      <c r="D11" s="7" t="n">
        <v>30.9</v>
      </c>
      <c r="E11" s="7" t="n">
        <v>17.1</v>
      </c>
      <c r="F11" s="7" t="n">
        <v>28.2</v>
      </c>
      <c r="G11" s="16">
        <f>'Revenue Model'!G37</f>
        <v/>
      </c>
      <c r="H11" s="16">
        <f>'Revenue Model'!H37</f>
        <v/>
      </c>
      <c r="I11" s="16">
        <f>'Revenue Model'!I37</f>
        <v/>
      </c>
      <c r="J11" s="16">
        <f>'Revenue Model'!J37</f>
        <v/>
      </c>
      <c r="K11" s="16">
        <f>'Revenue Model'!K37</f>
        <v/>
      </c>
    </row>
    <row r="12">
      <c r="A12" s="6" t="inlineStr">
        <is>
          <t>Income from properties held for development and sale</t>
        </is>
      </c>
      <c r="B12" s="7" t="n">
        <v>82.5</v>
      </c>
      <c r="C12" s="7" t="n">
        <v>137.8</v>
      </c>
      <c r="D12" s="7" t="n">
        <v>237.2</v>
      </c>
      <c r="E12" s="7" t="n">
        <v>341.5</v>
      </c>
      <c r="F12" s="7" t="n">
        <v>487.5</v>
      </c>
      <c r="G12" s="16">
        <f>'Revenue Model'!G35</f>
        <v/>
      </c>
      <c r="H12" s="16">
        <f>'Revenue Model'!H35</f>
        <v/>
      </c>
      <c r="I12" s="16">
        <f>'Revenue Model'!I35</f>
        <v/>
      </c>
      <c r="J12" s="16">
        <f>'Revenue Model'!J35</f>
        <v/>
      </c>
      <c r="K12" s="16">
        <f>'Revenue Model'!K35</f>
        <v/>
      </c>
    </row>
    <row r="13">
      <c r="A13" s="6" t="inlineStr">
        <is>
          <t>Income from investment properties</t>
        </is>
      </c>
      <c r="B13" s="7" t="n">
        <v>224.6</v>
      </c>
      <c r="C13" s="7" t="n">
        <v>230.1</v>
      </c>
      <c r="D13" s="7" t="n">
        <v>343.8</v>
      </c>
      <c r="E13" s="7" t="n">
        <v>738.9</v>
      </c>
      <c r="F13" s="7" t="n">
        <v>504.7</v>
      </c>
      <c r="G13" s="16">
        <f>'Revenue Model'!G36</f>
        <v/>
      </c>
      <c r="H13" s="16">
        <f>'Revenue Model'!H36</f>
        <v/>
      </c>
      <c r="I13" s="16">
        <f>'Revenue Model'!I36</f>
        <v/>
      </c>
      <c r="J13" s="16">
        <f>'Revenue Model'!J36</f>
        <v/>
      </c>
      <c r="K13" s="16">
        <f>'Revenue Model'!K36</f>
        <v/>
      </c>
    </row>
    <row r="14">
      <c r="A14" s="6" t="inlineStr">
        <is>
          <t>Share of profit of associates and joint ventures</t>
        </is>
      </c>
      <c r="B14" s="7" t="n">
        <v>115.9</v>
      </c>
      <c r="C14" s="7" t="n">
        <v>128.3</v>
      </c>
      <c r="D14" s="7" t="n">
        <v>214.9</v>
      </c>
      <c r="E14" s="7" t="n">
        <v>485.3</v>
      </c>
      <c r="F14" s="7" t="n">
        <v>381.4</v>
      </c>
      <c r="G14" s="16">
        <f>'Revenue Model'!G38</f>
        <v/>
      </c>
      <c r="H14" s="16">
        <f>'Revenue Model'!H38</f>
        <v/>
      </c>
      <c r="I14" s="16">
        <f>'Revenue Model'!I38</f>
        <v/>
      </c>
      <c r="J14" s="16">
        <f>'Revenue Model'!J38</f>
        <v/>
      </c>
      <c r="K14" s="16">
        <f>'Revenue Model'!K38</f>
        <v/>
      </c>
    </row>
    <row r="15">
      <c r="A15" s="6" t="inlineStr">
        <is>
          <t>Other income</t>
        </is>
      </c>
      <c r="B15" s="7" t="n">
        <v>683.9</v>
      </c>
      <c r="C15" s="7" t="n">
        <v>209.3</v>
      </c>
      <c r="D15" s="7" t="n">
        <v>294.2</v>
      </c>
      <c r="E15" s="7" t="n">
        <v>556.1</v>
      </c>
      <c r="F15" s="7" t="n">
        <v>1003.6</v>
      </c>
      <c r="G15" s="16">
        <f>'Revenue Model'!G39</f>
        <v/>
      </c>
      <c r="H15" s="16">
        <f>'Revenue Model'!H39</f>
        <v/>
      </c>
      <c r="I15" s="16">
        <f>'Revenue Model'!I39</f>
        <v/>
      </c>
      <c r="J15" s="16">
        <f>'Revenue Model'!J39</f>
        <v/>
      </c>
      <c r="K15" s="16">
        <f>'Revenue Model'!K39</f>
        <v/>
      </c>
    </row>
    <row r="16">
      <c r="A16" s="10" t="inlineStr">
        <is>
          <t>TOTAL NON-FUNDED INCOME</t>
        </is>
      </c>
      <c r="B16" s="11">
        <f>SUM(B10:B15)</f>
        <v/>
      </c>
      <c r="C16" s="11">
        <f>SUM(C10:C15)</f>
        <v/>
      </c>
      <c r="D16" s="11">
        <f>SUM(D10:D15)</f>
        <v/>
      </c>
      <c r="E16" s="11">
        <f>SUM(E10:E15)</f>
        <v/>
      </c>
      <c r="F16" s="11">
        <f>SUM(F10:F15)</f>
        <v/>
      </c>
      <c r="G16" s="11">
        <f>SUM(G10:G15)</f>
        <v/>
      </c>
      <c r="H16" s="11">
        <f>SUM(H10:H15)</f>
        <v/>
      </c>
      <c r="I16" s="11">
        <f>SUM(I10:I15)</f>
        <v/>
      </c>
      <c r="J16" s="11">
        <f>SUM(J10:J15)</f>
        <v/>
      </c>
      <c r="K16" s="11">
        <f>SUM(K10:K15)</f>
        <v/>
      </c>
    </row>
    <row r="18">
      <c r="A18" s="10" t="inlineStr">
        <is>
          <t>NET OPERATING REVENUE</t>
        </is>
      </c>
      <c r="B18" s="15">
        <f>B8+B16</f>
        <v/>
      </c>
      <c r="C18" s="15">
        <f>C8+C16</f>
        <v/>
      </c>
      <c r="D18" s="15">
        <f>D8+D16</f>
        <v/>
      </c>
      <c r="E18" s="15">
        <f>E8+E16</f>
        <v/>
      </c>
      <c r="F18" s="15">
        <f>F8+F16</f>
        <v/>
      </c>
      <c r="G18" s="15">
        <f>G8+G16</f>
        <v/>
      </c>
      <c r="H18" s="15">
        <f>H8+H16</f>
        <v/>
      </c>
      <c r="I18" s="15">
        <f>I8+I16</f>
        <v/>
      </c>
      <c r="J18" s="15">
        <f>J8+J16</f>
        <v/>
      </c>
      <c r="K18" s="15">
        <f>K8+K16</f>
        <v/>
      </c>
    </row>
    <row r="19">
      <c r="A19" s="6" t="inlineStr">
        <is>
          <t xml:space="preserve">   YoY growth %</t>
        </is>
      </c>
      <c r="C19" s="8">
        <f>C18/B18-1</f>
        <v/>
      </c>
      <c r="D19" s="8">
        <f>D18/C18-1</f>
        <v/>
      </c>
      <c r="E19" s="8">
        <f>E18/D18-1</f>
        <v/>
      </c>
      <c r="F19" s="8">
        <f>F18/E18-1</f>
        <v/>
      </c>
      <c r="G19" s="8">
        <f>G18/F18-1</f>
        <v/>
      </c>
      <c r="H19" s="8">
        <f>H18/G18-1</f>
        <v/>
      </c>
      <c r="I19" s="8">
        <f>I18/H18-1</f>
        <v/>
      </c>
      <c r="J19" s="8">
        <f>J18/I18-1</f>
        <v/>
      </c>
      <c r="K19" s="8">
        <f>K18/J18-1</f>
        <v/>
      </c>
    </row>
    <row r="21">
      <c r="A21" s="6" t="inlineStr">
        <is>
          <t>Personnel expenses</t>
        </is>
      </c>
      <c r="B21" s="7" t="n">
        <v>-1511.4</v>
      </c>
      <c r="C21" s="7" t="n">
        <v>-1583.1</v>
      </c>
      <c r="D21" s="7" t="n">
        <v>-1724</v>
      </c>
      <c r="E21" s="7" t="n">
        <v>-1989.1</v>
      </c>
      <c r="F21" s="7" t="n">
        <v>-2256.8</v>
      </c>
      <c r="G21" s="7">
        <f>F21*1.05</f>
        <v/>
      </c>
      <c r="H21" s="7">
        <f>G21*1.05</f>
        <v/>
      </c>
      <c r="I21" s="7">
        <f>H21*1.05</f>
        <v/>
      </c>
      <c r="J21" s="7">
        <f>I21*1.05</f>
        <v/>
      </c>
      <c r="K21" s="7">
        <f>J21*1.05</f>
        <v/>
      </c>
    </row>
    <row r="22">
      <c r="A22" s="6" t="inlineStr">
        <is>
          <t>General and administrative expenses</t>
        </is>
      </c>
      <c r="B22" s="7" t="n">
        <v>-838.6</v>
      </c>
      <c r="C22" s="7" t="n">
        <v>-966.5</v>
      </c>
      <c r="D22" s="7" t="n">
        <v>-1232</v>
      </c>
      <c r="E22" s="7" t="n">
        <v>-1180.9</v>
      </c>
      <c r="F22" s="7" t="n">
        <v>-1251</v>
      </c>
      <c r="G22" s="7">
        <f>F22*1.04</f>
        <v/>
      </c>
      <c r="H22" s="7">
        <f>G22*1.04</f>
        <v/>
      </c>
      <c r="I22" s="7">
        <f>H22*1.04</f>
        <v/>
      </c>
      <c r="J22" s="7">
        <f>I22*1.04</f>
        <v/>
      </c>
      <c r="K22" s="7">
        <f>J22*1.04</f>
        <v/>
      </c>
    </row>
    <row r="23">
      <c r="A23" s="6" t="inlineStr">
        <is>
          <t>Depreciation of investment properties</t>
        </is>
      </c>
      <c r="B23" s="7" t="n">
        <v>-57.8</v>
      </c>
      <c r="C23" s="7" t="n">
        <v>-64</v>
      </c>
      <c r="D23" s="7" t="n">
        <v>-63.4</v>
      </c>
      <c r="E23" s="7" t="n">
        <v>-64.8</v>
      </c>
      <c r="F23" s="7" t="n">
        <v>-57.4</v>
      </c>
      <c r="G23" s="14" t="n">
        <v>-55</v>
      </c>
      <c r="H23" s="14" t="n">
        <v>-55</v>
      </c>
      <c r="I23" s="14" t="n">
        <v>-55</v>
      </c>
      <c r="J23" s="14" t="n">
        <v>-55</v>
      </c>
      <c r="K23" s="14" t="n">
        <v>-55</v>
      </c>
    </row>
    <row r="24">
      <c r="A24" s="6" t="inlineStr">
        <is>
          <t>Depreciation of property and equipment</t>
        </is>
      </c>
      <c r="B24" s="7" t="n">
        <v>-121.5</v>
      </c>
      <c r="C24" s="7" t="n">
        <v>-119.5</v>
      </c>
      <c r="D24" s="7" t="n">
        <v>-142.2</v>
      </c>
      <c r="E24" s="7" t="n">
        <v>-190</v>
      </c>
      <c r="F24" s="7" t="n">
        <v>-197.6</v>
      </c>
      <c r="G24" s="14" t="n">
        <v>-205</v>
      </c>
      <c r="H24" s="14" t="n">
        <v>-215</v>
      </c>
      <c r="I24" s="14" t="n">
        <v>-225</v>
      </c>
      <c r="J24" s="14" t="n">
        <v>-235</v>
      </c>
      <c r="K24" s="14" t="n">
        <v>-245</v>
      </c>
    </row>
    <row r="25">
      <c r="A25" s="10" t="inlineStr">
        <is>
          <t>TOTAL OPERATING EXPENSES</t>
        </is>
      </c>
      <c r="B25" s="11">
        <f>SUM(B21:B24)</f>
        <v/>
      </c>
      <c r="C25" s="11">
        <f>SUM(C21:C24)</f>
        <v/>
      </c>
      <c r="D25" s="11">
        <f>SUM(D21:D24)</f>
        <v/>
      </c>
      <c r="E25" s="11">
        <f>SUM(E21:E24)</f>
        <v/>
      </c>
      <c r="F25" s="11">
        <f>SUM(F21:F24)</f>
        <v/>
      </c>
      <c r="G25" s="11">
        <f>SUM(G21:G24)</f>
        <v/>
      </c>
      <c r="H25" s="11">
        <f>SUM(H21:H24)</f>
        <v/>
      </c>
      <c r="I25" s="11">
        <f>SUM(I21:I24)</f>
        <v/>
      </c>
      <c r="J25" s="11">
        <f>SUM(J21:J24)</f>
        <v/>
      </c>
      <c r="K25" s="11">
        <f>SUM(K21:K24)</f>
        <v/>
      </c>
    </row>
    <row r="26">
      <c r="A26" s="6" t="inlineStr">
        <is>
          <t xml:space="preserve">   Cost-to-income ratio %</t>
        </is>
      </c>
      <c r="B26" s="8">
        <f>-B25/B18</f>
        <v/>
      </c>
      <c r="C26" s="8">
        <f>-C25/C18</f>
        <v/>
      </c>
      <c r="D26" s="8">
        <f>-D25/D18</f>
        <v/>
      </c>
      <c r="E26" s="8">
        <f>-E25/E18</f>
        <v/>
      </c>
      <c r="F26" s="8">
        <f>-F25/F18</f>
        <v/>
      </c>
      <c r="G26" s="8">
        <f>-G25/G18</f>
        <v/>
      </c>
      <c r="H26" s="8">
        <f>-H25/H18</f>
        <v/>
      </c>
      <c r="I26" s="8">
        <f>-I25/I18</f>
        <v/>
      </c>
      <c r="J26" s="8">
        <f>-J25/J18</f>
        <v/>
      </c>
      <c r="K26" s="8">
        <f>-K25/K18</f>
        <v/>
      </c>
    </row>
    <row r="28">
      <c r="A28" s="10" t="inlineStr">
        <is>
          <t>PRE-IMPAIRMENT OPERATING PROFIT</t>
        </is>
      </c>
      <c r="B28" s="11">
        <f>B18+B25</f>
        <v/>
      </c>
      <c r="C28" s="11">
        <f>C18+C25</f>
        <v/>
      </c>
      <c r="D28" s="11">
        <f>D18+D25</f>
        <v/>
      </c>
      <c r="E28" s="11">
        <f>E18+E25</f>
        <v/>
      </c>
      <c r="F28" s="11">
        <f>F18+F25</f>
        <v/>
      </c>
      <c r="G28" s="11">
        <f>G18+G25</f>
        <v/>
      </c>
      <c r="H28" s="11">
        <f>H18+H25</f>
        <v/>
      </c>
      <c r="I28" s="11">
        <f>I18+I25</f>
        <v/>
      </c>
      <c r="J28" s="11">
        <f>J18+J25</f>
        <v/>
      </c>
      <c r="K28" s="11">
        <f>K18+K25</f>
        <v/>
      </c>
    </row>
    <row r="29">
      <c r="A29" s="6" t="inlineStr">
        <is>
          <t>Impairment charges, net</t>
        </is>
      </c>
      <c r="B29" s="7" t="n">
        <v>-2448.2</v>
      </c>
      <c r="C29" s="7" t="n">
        <v>-2102.9</v>
      </c>
      <c r="D29" s="7" t="n">
        <v>-1395.9</v>
      </c>
      <c r="E29" s="7" t="n">
        <v>-406.8</v>
      </c>
      <c r="F29" s="7" t="n">
        <v>-485.4</v>
      </c>
      <c r="G29" s="7">
        <f>-G30/10000*(('Revenue Model'!G7+'Revenue Model'!F7)/2)</f>
        <v/>
      </c>
      <c r="H29" s="7">
        <f>-H30/10000*(('Revenue Model'!H7+'Revenue Model'!G7)/2)</f>
        <v/>
      </c>
      <c r="I29" s="7">
        <f>-I30/10000*(('Revenue Model'!I7+'Revenue Model'!H7)/2)</f>
        <v/>
      </c>
      <c r="J29" s="7">
        <f>-J30/10000*(('Revenue Model'!J7+'Revenue Model'!I7)/2)</f>
        <v/>
      </c>
      <c r="K29" s="7">
        <f>-K30/10000*(('Revenue Model'!K7+'Revenue Model'!J7)/2)</f>
        <v/>
      </c>
    </row>
    <row r="30">
      <c r="A30" s="6" t="inlineStr">
        <is>
          <t xml:space="preserve">   Cost of risk (bps on avg net financing)</t>
        </is>
      </c>
      <c r="B30" s="17" t="n">
        <v>99</v>
      </c>
      <c r="C30" s="17" t="n">
        <v>84</v>
      </c>
      <c r="D30" s="17" t="n">
        <v>60</v>
      </c>
      <c r="E30" s="17" t="n">
        <v>14</v>
      </c>
      <c r="F30" s="17" t="n">
        <v>14</v>
      </c>
      <c r="G30" s="18" t="n">
        <v>30</v>
      </c>
      <c r="H30" s="18" t="n">
        <v>40</v>
      </c>
      <c r="I30" s="18" t="n">
        <v>45</v>
      </c>
      <c r="J30" s="18" t="n">
        <v>45</v>
      </c>
      <c r="K30" s="18" t="n">
        <v>45</v>
      </c>
    </row>
    <row r="32">
      <c r="A32" s="10" t="inlineStr">
        <is>
          <t>PROFIT BEFORE INCOME TAX</t>
        </is>
      </c>
      <c r="B32" s="15">
        <f>B28+B29</f>
        <v/>
      </c>
      <c r="C32" s="15">
        <f>C28+C29</f>
        <v/>
      </c>
      <c r="D32" s="15">
        <f>D28+D29</f>
        <v/>
      </c>
      <c r="E32" s="15">
        <f>E28+E29</f>
        <v/>
      </c>
      <c r="F32" s="15">
        <f>F28+F29</f>
        <v/>
      </c>
      <c r="G32" s="15">
        <f>G28+G29</f>
        <v/>
      </c>
      <c r="H32" s="15">
        <f>H28+H29</f>
        <v/>
      </c>
      <c r="I32" s="15">
        <f>I28+I29</f>
        <v/>
      </c>
      <c r="J32" s="15">
        <f>J28+J29</f>
        <v/>
      </c>
      <c r="K32" s="15">
        <f>K28+K29</f>
        <v/>
      </c>
    </row>
    <row r="33">
      <c r="A33" s="6" t="inlineStr">
        <is>
          <t>Income tax expense</t>
        </is>
      </c>
      <c r="B33" s="7" t="n">
        <v>-38.1</v>
      </c>
      <c r="C33" s="7" t="n">
        <v>-79.2</v>
      </c>
      <c r="D33" s="7" t="n">
        <v>-97.59999999999999</v>
      </c>
      <c r="E33" s="7" t="n">
        <v>-839.9</v>
      </c>
      <c r="F33" s="7" t="n">
        <v>-1195.1</v>
      </c>
      <c r="G33" s="7">
        <f>-G34*G32</f>
        <v/>
      </c>
      <c r="H33" s="7">
        <f>-H34*H32</f>
        <v/>
      </c>
      <c r="I33" s="7">
        <f>-I34*I32</f>
        <v/>
      </c>
      <c r="J33" s="7">
        <f>-J34*J32</f>
        <v/>
      </c>
      <c r="K33" s="7">
        <f>-K34*K32</f>
        <v/>
      </c>
    </row>
    <row r="34">
      <c r="A34" s="6" t="inlineStr">
        <is>
          <t xml:space="preserve">   Effective tax rate %</t>
        </is>
      </c>
      <c r="B34" s="8">
        <f>-B33/B32</f>
        <v/>
      </c>
      <c r="C34" s="8">
        <f>-C33/C32</f>
        <v/>
      </c>
      <c r="D34" s="8">
        <f>-D33/D32</f>
        <v/>
      </c>
      <c r="E34" s="8">
        <f>-E33/E32</f>
        <v/>
      </c>
      <c r="F34" s="8">
        <f>-F33/F32</f>
        <v/>
      </c>
      <c r="G34" s="9" t="n">
        <v>0.14</v>
      </c>
      <c r="H34" s="9" t="n">
        <v>0.15</v>
      </c>
      <c r="I34" s="9" t="n">
        <v>0.15</v>
      </c>
      <c r="J34" s="9" t="n">
        <v>0.15</v>
      </c>
      <c r="K34" s="9" t="n">
        <v>0.15</v>
      </c>
    </row>
    <row r="36">
      <c r="A36" s="10" t="inlineStr">
        <is>
          <t>NET PROFIT</t>
        </is>
      </c>
      <c r="B36" s="15">
        <f>B32+B33</f>
        <v/>
      </c>
      <c r="C36" s="15">
        <f>C32+C33</f>
        <v/>
      </c>
      <c r="D36" s="15">
        <f>D32+D33</f>
        <v/>
      </c>
      <c r="E36" s="15">
        <f>E32+E33</f>
        <v/>
      </c>
      <c r="F36" s="15">
        <f>F32+F33</f>
        <v/>
      </c>
      <c r="G36" s="15">
        <f>G32+G33</f>
        <v/>
      </c>
      <c r="H36" s="15">
        <f>H32+H33</f>
        <v/>
      </c>
      <c r="I36" s="15">
        <f>I32+I33</f>
        <v/>
      </c>
      <c r="J36" s="15">
        <f>J32+J33</f>
        <v/>
      </c>
      <c r="K36" s="15">
        <f>K32+K33</f>
        <v/>
      </c>
    </row>
    <row r="37">
      <c r="A37" s="6" t="inlineStr">
        <is>
          <t>Attributable to non-controlling interests</t>
        </is>
      </c>
      <c r="B37" s="7" t="n">
        <v>15</v>
      </c>
      <c r="C37" s="7" t="n">
        <v>77.40000000000001</v>
      </c>
      <c r="D37" s="7" t="n">
        <v>212.3</v>
      </c>
      <c r="E37" s="7" t="n">
        <v>231</v>
      </c>
      <c r="F37" s="7" t="n">
        <v>307.3</v>
      </c>
      <c r="G37" s="7">
        <f>G38*G36</f>
        <v/>
      </c>
      <c r="H37" s="7">
        <f>H38*H36</f>
        <v/>
      </c>
      <c r="I37" s="7">
        <f>I38*I36</f>
        <v/>
      </c>
      <c r="J37" s="7">
        <f>J38*J36</f>
        <v/>
      </c>
      <c r="K37" s="7">
        <f>K38*K36</f>
        <v/>
      </c>
    </row>
    <row r="38">
      <c r="A38" s="6" t="inlineStr">
        <is>
          <t xml:space="preserve">   NCI share of net profit %</t>
        </is>
      </c>
      <c r="B38" s="8">
        <f>B37/B36</f>
        <v/>
      </c>
      <c r="C38" s="8">
        <f>C37/C36</f>
        <v/>
      </c>
      <c r="D38" s="8">
        <f>D37/D36</f>
        <v/>
      </c>
      <c r="E38" s="8">
        <f>E37/E36</f>
        <v/>
      </c>
      <c r="F38" s="8">
        <f>F37/F36</f>
        <v/>
      </c>
      <c r="G38" s="9" t="n">
        <v>0.042</v>
      </c>
      <c r="H38" s="9" t="n">
        <v>0.042</v>
      </c>
      <c r="I38" s="9" t="n">
        <v>0.042</v>
      </c>
      <c r="J38" s="9" t="n">
        <v>0.042</v>
      </c>
      <c r="K38" s="9" t="n">
        <v>0.042</v>
      </c>
    </row>
    <row r="39">
      <c r="A39" s="10" t="inlineStr">
        <is>
          <t>ATTRIBUTABLE TO OWNERS OF THE BANK</t>
        </is>
      </c>
      <c r="B39" s="11">
        <f>B36-B37</f>
        <v/>
      </c>
      <c r="C39" s="11">
        <f>C36-C37</f>
        <v/>
      </c>
      <c r="D39" s="11">
        <f>D36-D37</f>
        <v/>
      </c>
      <c r="E39" s="11">
        <f>E36-E37</f>
        <v/>
      </c>
      <c r="F39" s="11">
        <f>F36-F37</f>
        <v/>
      </c>
      <c r="G39" s="11">
        <f>G36-G37</f>
        <v/>
      </c>
      <c r="H39" s="11">
        <f>H36-H37</f>
        <v/>
      </c>
      <c r="I39" s="11">
        <f>I36-I37</f>
        <v/>
      </c>
      <c r="J39" s="11">
        <f>J36-J37</f>
        <v/>
      </c>
      <c r="K39" s="11">
        <f>K36-K37</f>
        <v/>
      </c>
    </row>
    <row r="41">
      <c r="A41" s="6" t="inlineStr">
        <is>
          <t>Tier 1 sukuk coupons (equity appropriation, memo)</t>
        </is>
      </c>
      <c r="B41" s="7" t="n">
        <v>-554.4</v>
      </c>
      <c r="C41" s="7" t="n">
        <v>-404</v>
      </c>
      <c r="D41" s="7" t="n">
        <v>-404</v>
      </c>
      <c r="E41" s="7" t="n">
        <v>-404</v>
      </c>
      <c r="F41" s="7" t="n">
        <v>-414.4</v>
      </c>
      <c r="G41" s="14" t="n">
        <v>-420</v>
      </c>
      <c r="H41" s="14" t="n">
        <v>-420</v>
      </c>
      <c r="I41" s="14" t="n">
        <v>-420</v>
      </c>
      <c r="J41" s="14" t="n">
        <v>-420</v>
      </c>
      <c r="K41" s="14" t="n">
        <v>-420</v>
      </c>
    </row>
    <row r="42">
      <c r="A42" s="6" t="inlineStr">
        <is>
          <t>EPS (AED)</t>
        </is>
      </c>
      <c r="B42" s="19" t="n">
        <v>0.53</v>
      </c>
      <c r="C42" s="19" t="n">
        <v>0.7</v>
      </c>
      <c r="D42" s="19" t="n">
        <v>0.88</v>
      </c>
      <c r="E42" s="19" t="n">
        <v>1.04</v>
      </c>
      <c r="F42" s="19" t="n">
        <v>0.98</v>
      </c>
      <c r="G42" s="19">
        <f>(G39+G41)/7240.7</f>
        <v/>
      </c>
      <c r="H42" s="19">
        <f>(H39+H41)/7240.7</f>
        <v/>
      </c>
      <c r="I42" s="19">
        <f>(I39+I41)/7240.7</f>
        <v/>
      </c>
      <c r="J42" s="19">
        <f>(J39+J41)/7240.7</f>
        <v/>
      </c>
      <c r="K42" s="19">
        <f>(K39+K41)/7240.7</f>
        <v/>
      </c>
    </row>
    <row r="43">
      <c r="A43" s="6" t="inlineStr">
        <is>
          <t>DPS declared for the year (fils)</t>
        </is>
      </c>
      <c r="B43" s="17" t="n">
        <v>25</v>
      </c>
      <c r="C43" s="17" t="n">
        <v>30</v>
      </c>
      <c r="D43" s="17" t="n">
        <v>45</v>
      </c>
      <c r="E43" s="17" t="n">
        <v>45</v>
      </c>
      <c r="F43" s="17" t="n">
        <v>35</v>
      </c>
      <c r="G43" s="18" t="n">
        <v>35</v>
      </c>
      <c r="H43" s="18" t="n">
        <v>38</v>
      </c>
      <c r="I43" s="18" t="n">
        <v>40</v>
      </c>
      <c r="J43" s="18" t="n">
        <v>42</v>
      </c>
      <c r="K43" s="18" t="n">
        <v>45</v>
      </c>
    </row>
    <row r="44">
      <c r="A44" s="6" t="inlineStr">
        <is>
          <t xml:space="preserve">   Payout ratio % (of attributable)</t>
        </is>
      </c>
      <c r="B44" s="8">
        <f>B43/100*7240.7/1000/B39*1000</f>
        <v/>
      </c>
      <c r="C44" s="8">
        <f>C43/100*7240.7/1000/C39*1000</f>
        <v/>
      </c>
      <c r="D44" s="8">
        <f>D43/100*7240.7/1000/D39*1000</f>
        <v/>
      </c>
      <c r="E44" s="8">
        <f>E43/100*7240.7/1000/E39*1000</f>
        <v/>
      </c>
      <c r="F44" s="8">
        <f>F43/100*7240.7/1000/F39*1000</f>
        <v/>
      </c>
      <c r="G44" s="8">
        <f>G43/100*7240.7/1000/G39*1000</f>
        <v/>
      </c>
      <c r="H44" s="8">
        <f>H43/100*7240.7/1000/H39*1000</f>
        <v/>
      </c>
      <c r="I44" s="8">
        <f>I43/100*7240.7/1000/I39*1000</f>
        <v/>
      </c>
      <c r="J44" s="8">
        <f>J43/100*7240.7/1000/J39*1000</f>
        <v/>
      </c>
      <c r="K44" s="8">
        <f>K43/100*7240.7/1000/K39*1000</f>
        <v/>
      </c>
    </row>
    <row r="46">
      <c r="A46" s="6" t="inlineStr">
        <is>
          <t>ROA % (net profit / avg total assets)</t>
        </is>
      </c>
      <c r="C46" s="20">
        <f>C36/(('Balance Sheet'!C17+'Balance Sheet'!B17)/2)</f>
        <v/>
      </c>
      <c r="D46" s="20">
        <f>D36/(('Balance Sheet'!D17+'Balance Sheet'!C17)/2)</f>
        <v/>
      </c>
      <c r="E46" s="20">
        <f>E36/(('Balance Sheet'!E17+'Balance Sheet'!D17)/2)</f>
        <v/>
      </c>
      <c r="F46" s="20">
        <f>F36/(('Balance Sheet'!F17+'Balance Sheet'!E17)/2)</f>
        <v/>
      </c>
      <c r="G46" s="20">
        <f>G36/(('Balance Sheet'!G17+'Balance Sheet'!F17)/2)</f>
        <v/>
      </c>
      <c r="H46" s="20">
        <f>H36/(('Balance Sheet'!H17+'Balance Sheet'!G17)/2)</f>
        <v/>
      </c>
      <c r="I46" s="20">
        <f>I36/(('Balance Sheet'!I17+'Balance Sheet'!H17)/2)</f>
        <v/>
      </c>
      <c r="J46" s="20">
        <f>J36/(('Balance Sheet'!J17+'Balance Sheet'!I17)/2)</f>
        <v/>
      </c>
      <c r="K46" s="20">
        <f>K36/(('Balance Sheet'!K17+'Balance Sheet'!J17)/2)</f>
        <v/>
      </c>
    </row>
    <row r="47">
      <c r="A47" s="6" t="inlineStr">
        <is>
          <t>ROTE % (attr. less T1 coupons / avg tangible common equity)</t>
        </is>
      </c>
      <c r="C47" s="21">
        <f>(C39+C41)/((('Balance Sheet'!C35-'Balance Sheet'!C30)+('Balance Sheet'!B35-'Balance Sheet'!B30))/2)</f>
        <v/>
      </c>
      <c r="D47" s="21">
        <f>(D39+D41)/((('Balance Sheet'!D35-'Balance Sheet'!D30)+('Balance Sheet'!C35-'Balance Sheet'!C30))/2)</f>
        <v/>
      </c>
      <c r="E47" s="21">
        <f>(E39+E41)/((('Balance Sheet'!E35-'Balance Sheet'!E30)+('Balance Sheet'!D35-'Balance Sheet'!D30))/2)</f>
        <v/>
      </c>
      <c r="F47" s="21">
        <f>(F39+F41)/((('Balance Sheet'!F35-'Balance Sheet'!F30)+('Balance Sheet'!E35-'Balance Sheet'!E30))/2)</f>
        <v/>
      </c>
      <c r="G47" s="21">
        <f>(G39+G41)/((('Balance Sheet'!G35-'Balance Sheet'!G30)+('Balance Sheet'!F35-'Balance Sheet'!F30))/2)</f>
        <v/>
      </c>
      <c r="H47" s="21">
        <f>(H39+H41)/((('Balance Sheet'!H35-'Balance Sheet'!H30)+('Balance Sheet'!G35-'Balance Sheet'!G30))/2)</f>
        <v/>
      </c>
      <c r="I47" s="21">
        <f>(I39+I41)/((('Balance Sheet'!I35-'Balance Sheet'!I30)+('Balance Sheet'!H35-'Balance Sheet'!H30))/2)</f>
        <v/>
      </c>
      <c r="J47" s="21">
        <f>(J39+J41)/((('Balance Sheet'!J35-'Balance Sheet'!J30)+('Balance Sheet'!I35-'Balance Sheet'!I30))/2)</f>
        <v/>
      </c>
      <c r="K47" s="21">
        <f>(K39+K41)/((('Balance Sheet'!K35-'Balance Sheet'!K30)+('Balance Sheet'!J35-'Balance Sheet'!J30))/2)</f>
        <v/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39"/>
  <sheetViews>
    <sheetView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>
      <c r="A1" s="1" t="inlineStr">
        <is>
          <t>Dubai Islamic Bank — Consolidated Balance Sheet</t>
        </is>
      </c>
    </row>
    <row r="2">
      <c r="A2" s="2" t="inlineStr">
        <is>
          <t>AED millions · FY2021-2025 audited · Projections: cash &amp; CB balances is the balancing item  ·  Blue = input/assumption · Black = actual/formula · Green = link</t>
        </is>
      </c>
    </row>
    <row r="4">
      <c r="B4" s="3" t="inlineStr">
        <is>
          <t>FY2021A</t>
        </is>
      </c>
      <c r="C4" s="3" t="inlineStr">
        <is>
          <t>FY2022A</t>
        </is>
      </c>
      <c r="D4" s="3" t="inlineStr">
        <is>
          <t>FY2023A</t>
        </is>
      </c>
      <c r="E4" s="3" t="inlineStr">
        <is>
          <t>FY2024A</t>
        </is>
      </c>
      <c r="F4" s="3" t="inlineStr">
        <is>
          <t>FY2025A</t>
        </is>
      </c>
      <c r="G4" s="3" t="inlineStr">
        <is>
          <t>FY2026E</t>
        </is>
      </c>
      <c r="H4" s="3" t="inlineStr">
        <is>
          <t>FY2027E</t>
        </is>
      </c>
      <c r="I4" s="3" t="inlineStr">
        <is>
          <t>FY2028E</t>
        </is>
      </c>
      <c r="J4" s="3" t="inlineStr">
        <is>
          <t>FY2029E</t>
        </is>
      </c>
      <c r="K4" s="3" t="inlineStr">
        <is>
          <t>FY2030E</t>
        </is>
      </c>
    </row>
    <row r="6">
      <c r="A6" s="4" t="inlineStr">
        <is>
          <t>ASSETS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</row>
    <row r="7">
      <c r="A7" s="6" t="inlineStr">
        <is>
          <t>Cash and balances with central banks</t>
        </is>
      </c>
      <c r="B7" s="7" t="n">
        <v>28079.7</v>
      </c>
      <c r="C7" s="7" t="n">
        <v>26489.1</v>
      </c>
      <c r="D7" s="7" t="n">
        <v>24019.5</v>
      </c>
      <c r="E7" s="7" t="n">
        <v>26700.5</v>
      </c>
      <c r="F7" s="7" t="n">
        <v>36870</v>
      </c>
      <c r="G7" s="7">
        <f>(G26+G37)-SUM(G8:G16)</f>
        <v/>
      </c>
      <c r="H7" s="7">
        <f>(H26+H37)-SUM(H8:H16)</f>
        <v/>
      </c>
      <c r="I7" s="7">
        <f>(I26+I37)-SUM(I8:I16)</f>
        <v/>
      </c>
      <c r="J7" s="7">
        <f>(J26+J37)-SUM(J8:J16)</f>
        <v/>
      </c>
      <c r="K7" s="7">
        <f>(K26+K37)-SUM(K8:K16)</f>
        <v/>
      </c>
    </row>
    <row r="8">
      <c r="A8" s="6" t="inlineStr">
        <is>
          <t>Due from banks and financial institutions</t>
        </is>
      </c>
      <c r="B8" s="7" t="n">
        <v>3303.4</v>
      </c>
      <c r="C8" s="7" t="n">
        <v>4606.9</v>
      </c>
      <c r="D8" s="7" t="n">
        <v>4483.7</v>
      </c>
      <c r="E8" s="7" t="n">
        <v>5642.1</v>
      </c>
      <c r="F8" s="7" t="n">
        <v>5386.9</v>
      </c>
      <c r="G8" s="14" t="n">
        <v>7000</v>
      </c>
      <c r="H8" s="14" t="n">
        <v>7300</v>
      </c>
      <c r="I8" s="14" t="n">
        <v>7600</v>
      </c>
      <c r="J8" s="14" t="n">
        <v>7900</v>
      </c>
      <c r="K8" s="14" t="n">
        <v>8200</v>
      </c>
    </row>
    <row r="9">
      <c r="A9" s="6" t="inlineStr">
        <is>
          <t>Islamic financing and investing assets, net</t>
        </is>
      </c>
      <c r="B9" s="7" t="n">
        <v>186690.6</v>
      </c>
      <c r="C9" s="7" t="n">
        <v>186042.6</v>
      </c>
      <c r="D9" s="7" t="n">
        <v>199453.3</v>
      </c>
      <c r="E9" s="7" t="n">
        <v>212426.7</v>
      </c>
      <c r="F9" s="7" t="n">
        <v>262055.1</v>
      </c>
      <c r="G9" s="16">
        <f>'Revenue Model'!G7</f>
        <v/>
      </c>
      <c r="H9" s="16">
        <f>'Revenue Model'!H7</f>
        <v/>
      </c>
      <c r="I9" s="16">
        <f>'Revenue Model'!I7</f>
        <v/>
      </c>
      <c r="J9" s="16">
        <f>'Revenue Model'!J7</f>
        <v/>
      </c>
      <c r="K9" s="16">
        <f>'Revenue Model'!K7</f>
        <v/>
      </c>
    </row>
    <row r="10">
      <c r="A10" s="6" t="inlineStr">
        <is>
          <t>Investments in sukuk</t>
        </is>
      </c>
      <c r="B10" s="7" t="n">
        <v>41794.4</v>
      </c>
      <c r="C10" s="7" t="n">
        <v>52228.4</v>
      </c>
      <c r="D10" s="7" t="n">
        <v>68172.2</v>
      </c>
      <c r="E10" s="7" t="n">
        <v>82160.7</v>
      </c>
      <c r="F10" s="7" t="n">
        <v>90588.60000000001</v>
      </c>
      <c r="G10" s="16">
        <f>'Revenue Model'!G9</f>
        <v/>
      </c>
      <c r="H10" s="16">
        <f>'Revenue Model'!H9</f>
        <v/>
      </c>
      <c r="I10" s="16">
        <f>'Revenue Model'!I9</f>
        <v/>
      </c>
      <c r="J10" s="16">
        <f>'Revenue Model'!J9</f>
        <v/>
      </c>
      <c r="K10" s="16">
        <f>'Revenue Model'!K9</f>
        <v/>
      </c>
    </row>
    <row r="11">
      <c r="A11" s="6" t="inlineStr">
        <is>
          <t>Other investments at fair value</t>
        </is>
      </c>
      <c r="B11" s="7" t="n">
        <v>1229.5</v>
      </c>
      <c r="C11" s="7" t="n">
        <v>1024.8</v>
      </c>
      <c r="D11" s="7" t="n">
        <v>846.5</v>
      </c>
      <c r="E11" s="7" t="n">
        <v>785.4</v>
      </c>
      <c r="F11" s="7" t="n">
        <v>606.6</v>
      </c>
      <c r="G11" s="14" t="n">
        <v>650</v>
      </c>
      <c r="H11" s="14" t="n">
        <v>650</v>
      </c>
      <c r="I11" s="14" t="n">
        <v>650</v>
      </c>
      <c r="J11" s="14" t="n">
        <v>650</v>
      </c>
      <c r="K11" s="14" t="n">
        <v>650</v>
      </c>
    </row>
    <row r="12">
      <c r="A12" s="6" t="inlineStr">
        <is>
          <t>Investments in associates and joint ventures</t>
        </is>
      </c>
      <c r="B12" s="7" t="n">
        <v>1944.8</v>
      </c>
      <c r="C12" s="7" t="n">
        <v>1948.8</v>
      </c>
      <c r="D12" s="7" t="n">
        <v>2431.8</v>
      </c>
      <c r="E12" s="7" t="n">
        <v>2502.7</v>
      </c>
      <c r="F12" s="7" t="n">
        <v>2934.7</v>
      </c>
      <c r="G12" s="14" t="n">
        <v>3080</v>
      </c>
      <c r="H12" s="14" t="n">
        <v>3235</v>
      </c>
      <c r="I12" s="14" t="n">
        <v>3395</v>
      </c>
      <c r="J12" s="14" t="n">
        <v>3565</v>
      </c>
      <c r="K12" s="14" t="n">
        <v>3745</v>
      </c>
    </row>
    <row r="13">
      <c r="A13" s="6" t="inlineStr">
        <is>
          <t>Properties held for development and sale</t>
        </is>
      </c>
      <c r="B13" s="7" t="n">
        <v>1571.5</v>
      </c>
      <c r="C13" s="7" t="n">
        <v>1488.1</v>
      </c>
      <c r="D13" s="7" t="n">
        <v>1050.1</v>
      </c>
      <c r="E13" s="7" t="n">
        <v>988.1</v>
      </c>
      <c r="F13" s="7" t="n">
        <v>1117.7</v>
      </c>
      <c r="G13" s="14" t="n">
        <v>1100</v>
      </c>
      <c r="H13" s="14" t="n">
        <v>1100</v>
      </c>
      <c r="I13" s="14" t="n">
        <v>1100</v>
      </c>
      <c r="J13" s="14" t="n">
        <v>1100</v>
      </c>
      <c r="K13" s="14" t="n">
        <v>1100</v>
      </c>
    </row>
    <row r="14">
      <c r="A14" s="6" t="inlineStr">
        <is>
          <t>Investment properties</t>
        </is>
      </c>
      <c r="B14" s="7" t="n">
        <v>5499.1</v>
      </c>
      <c r="C14" s="7" t="n">
        <v>5261.9</v>
      </c>
      <c r="D14" s="7" t="n">
        <v>5625.2</v>
      </c>
      <c r="E14" s="7" t="n">
        <v>4520.5</v>
      </c>
      <c r="F14" s="7" t="n">
        <v>4756.1</v>
      </c>
      <c r="G14" s="14" t="n">
        <v>4700</v>
      </c>
      <c r="H14" s="14" t="n">
        <v>4700</v>
      </c>
      <c r="I14" s="14" t="n">
        <v>4700</v>
      </c>
      <c r="J14" s="14" t="n">
        <v>4700</v>
      </c>
      <c r="K14" s="14" t="n">
        <v>4700</v>
      </c>
    </row>
    <row r="15">
      <c r="A15" s="6" t="inlineStr">
        <is>
          <t>Receivables and other assets</t>
        </is>
      </c>
      <c r="B15" s="7" t="n">
        <v>7474.5</v>
      </c>
      <c r="C15" s="7" t="n">
        <v>7489.8</v>
      </c>
      <c r="D15" s="7" t="n">
        <v>6324.1</v>
      </c>
      <c r="E15" s="7" t="n">
        <v>7082</v>
      </c>
      <c r="F15" s="7" t="n">
        <v>9887.799999999999</v>
      </c>
      <c r="G15" s="14" t="n">
        <v>10600</v>
      </c>
      <c r="H15" s="14" t="n">
        <v>11400</v>
      </c>
      <c r="I15" s="14" t="n">
        <v>12200</v>
      </c>
      <c r="J15" s="14" t="n">
        <v>13000</v>
      </c>
      <c r="K15" s="14" t="n">
        <v>13900</v>
      </c>
    </row>
    <row r="16">
      <c r="A16" s="6" t="inlineStr">
        <is>
          <t>Property and equipment</t>
        </is>
      </c>
      <c r="B16" s="7" t="n">
        <v>1494.1</v>
      </c>
      <c r="C16" s="7" t="n">
        <v>1658.1</v>
      </c>
      <c r="D16" s="7" t="n">
        <v>1885</v>
      </c>
      <c r="E16" s="7" t="n">
        <v>1878.1</v>
      </c>
      <c r="F16" s="7" t="n">
        <v>1744.6</v>
      </c>
      <c r="G16" s="14" t="n">
        <v>1790</v>
      </c>
      <c r="H16" s="14" t="n">
        <v>1830</v>
      </c>
      <c r="I16" s="14" t="n">
        <v>1870</v>
      </c>
      <c r="J16" s="14" t="n">
        <v>1910</v>
      </c>
      <c r="K16" s="14" t="n">
        <v>1950</v>
      </c>
    </row>
    <row r="17">
      <c r="A17" s="10" t="inlineStr">
        <is>
          <t>TOTAL ASSETS</t>
        </is>
      </c>
      <c r="B17" s="15">
        <f>SUM(B7:B16)</f>
        <v/>
      </c>
      <c r="C17" s="15">
        <f>SUM(C7:C16)</f>
        <v/>
      </c>
      <c r="D17" s="15">
        <f>SUM(D7:D16)</f>
        <v/>
      </c>
      <c r="E17" s="15">
        <f>SUM(E7:E16)</f>
        <v/>
      </c>
      <c r="F17" s="15">
        <f>SUM(F7:F16)</f>
        <v/>
      </c>
      <c r="G17" s="15">
        <f>SUM(G7:G16)</f>
        <v/>
      </c>
      <c r="H17" s="15">
        <f>SUM(H7:H16)</f>
        <v/>
      </c>
      <c r="I17" s="15">
        <f>SUM(I7:I16)</f>
        <v/>
      </c>
      <c r="J17" s="15">
        <f>SUM(J7:J16)</f>
        <v/>
      </c>
      <c r="K17" s="15">
        <f>SUM(K7:K16)</f>
        <v/>
      </c>
    </row>
    <row r="18">
      <c r="A18" s="6" t="inlineStr">
        <is>
          <t xml:space="preserve">   YoY growth %</t>
        </is>
      </c>
      <c r="C18" s="8">
        <f>C17/B17-1</f>
        <v/>
      </c>
      <c r="D18" s="8">
        <f>D17/C17-1</f>
        <v/>
      </c>
      <c r="E18" s="8">
        <f>E17/D17-1</f>
        <v/>
      </c>
      <c r="F18" s="8">
        <f>F17/E17-1</f>
        <v/>
      </c>
      <c r="G18" s="8">
        <f>G17/F17-1</f>
        <v/>
      </c>
      <c r="H18" s="8">
        <f>H17/G17-1</f>
        <v/>
      </c>
      <c r="I18" s="8">
        <f>I17/H17-1</f>
        <v/>
      </c>
      <c r="J18" s="8">
        <f>J17/I17-1</f>
        <v/>
      </c>
      <c r="K18" s="8">
        <f>K17/J17-1</f>
        <v/>
      </c>
    </row>
    <row r="20">
      <c r="A20" s="4" t="inlineStr">
        <is>
          <t>LIABILITIES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  <c r="K20" s="5" t="n"/>
    </row>
    <row r="21">
      <c r="A21" s="6" t="inlineStr">
        <is>
          <t>Customers' deposits</t>
        </is>
      </c>
      <c r="B21" s="7" t="n">
        <v>205845.1</v>
      </c>
      <c r="C21" s="7" t="n">
        <v>198636.9</v>
      </c>
      <c r="D21" s="7" t="n">
        <v>222054.2</v>
      </c>
      <c r="E21" s="7" t="n">
        <v>248545.8</v>
      </c>
      <c r="F21" s="7" t="n">
        <v>320184.4</v>
      </c>
      <c r="G21" s="16">
        <f>'Revenue Model'!G19</f>
        <v/>
      </c>
      <c r="H21" s="16">
        <f>'Revenue Model'!H19</f>
        <v/>
      </c>
      <c r="I21" s="16">
        <f>'Revenue Model'!I19</f>
        <v/>
      </c>
      <c r="J21" s="16">
        <f>'Revenue Model'!J19</f>
        <v/>
      </c>
      <c r="K21" s="16">
        <f>'Revenue Model'!K19</f>
        <v/>
      </c>
    </row>
    <row r="22">
      <c r="A22" s="6" t="inlineStr">
        <is>
          <t>Due to banks and financial institutions</t>
        </is>
      </c>
      <c r="B22" s="7" t="n">
        <v>2583.7</v>
      </c>
      <c r="C22" s="7" t="n">
        <v>12809.5</v>
      </c>
      <c r="D22" s="7" t="n">
        <v>12967</v>
      </c>
      <c r="E22" s="7" t="n">
        <v>5854.5</v>
      </c>
      <c r="F22" s="7" t="n">
        <v>1966.4</v>
      </c>
      <c r="G22" s="16">
        <f>'Revenue Model'!G22</f>
        <v/>
      </c>
      <c r="H22" s="16">
        <f>'Revenue Model'!H22</f>
        <v/>
      </c>
      <c r="I22" s="16">
        <f>'Revenue Model'!I22</f>
        <v/>
      </c>
      <c r="J22" s="16">
        <f>'Revenue Model'!J22</f>
        <v/>
      </c>
      <c r="K22" s="16">
        <f>'Revenue Model'!K22</f>
        <v/>
      </c>
    </row>
    <row r="23">
      <c r="A23" s="6" t="inlineStr">
        <is>
          <t>Sukuk issued (senior)</t>
        </is>
      </c>
      <c r="B23" s="7" t="n">
        <v>20562.7</v>
      </c>
      <c r="C23" s="7" t="n">
        <v>22339.7</v>
      </c>
      <c r="D23" s="7" t="n">
        <v>20481</v>
      </c>
      <c r="E23" s="7" t="n">
        <v>24154.4</v>
      </c>
      <c r="F23" s="7" t="n">
        <v>25070.7</v>
      </c>
      <c r="G23" s="16">
        <f>'Revenue Model'!G23</f>
        <v/>
      </c>
      <c r="H23" s="16">
        <f>'Revenue Model'!H23</f>
        <v/>
      </c>
      <c r="I23" s="16">
        <f>'Revenue Model'!I23</f>
        <v/>
      </c>
      <c r="J23" s="16">
        <f>'Revenue Model'!J23</f>
        <v/>
      </c>
      <c r="K23" s="16">
        <f>'Revenue Model'!K23</f>
        <v/>
      </c>
    </row>
    <row r="24">
      <c r="A24" s="6" t="inlineStr">
        <is>
          <t>Payables and other liabilities</t>
        </is>
      </c>
      <c r="B24" s="7" t="n">
        <v>8250.799999999999</v>
      </c>
      <c r="C24" s="7" t="n">
        <v>10048.1</v>
      </c>
      <c r="D24" s="7" t="n">
        <v>10863.9</v>
      </c>
      <c r="E24" s="7" t="n">
        <v>12697.7</v>
      </c>
      <c r="F24" s="7" t="n">
        <v>14909.4</v>
      </c>
      <c r="G24" s="14" t="n">
        <v>16100</v>
      </c>
      <c r="H24" s="14" t="n">
        <v>17400</v>
      </c>
      <c r="I24" s="14" t="n">
        <v>18800</v>
      </c>
      <c r="J24" s="14" t="n">
        <v>20300</v>
      </c>
      <c r="K24" s="14" t="n">
        <v>21900</v>
      </c>
    </row>
    <row r="25">
      <c r="A25" s="6" t="inlineStr">
        <is>
          <t>Zakat payable</t>
        </is>
      </c>
      <c r="B25" s="7" t="n">
        <v>374.6</v>
      </c>
      <c r="C25" s="7" t="n">
        <v>429.3</v>
      </c>
      <c r="D25" s="7" t="n">
        <v>491.4</v>
      </c>
      <c r="E25" s="7" t="n">
        <v>581.5</v>
      </c>
      <c r="F25" s="7" t="n">
        <v>682</v>
      </c>
      <c r="G25" s="14" t="n">
        <v>750</v>
      </c>
      <c r="H25" s="14" t="n">
        <v>820</v>
      </c>
      <c r="I25" s="14" t="n">
        <v>890</v>
      </c>
      <c r="J25" s="14" t="n">
        <v>960</v>
      </c>
      <c r="K25" s="14" t="n">
        <v>1030</v>
      </c>
    </row>
    <row r="26">
      <c r="A26" s="10" t="inlineStr">
        <is>
          <t>TOTAL LIABILITIES</t>
        </is>
      </c>
      <c r="B26" s="15">
        <f>SUM(B21:B25)</f>
        <v/>
      </c>
      <c r="C26" s="15">
        <f>SUM(C21:C25)</f>
        <v/>
      </c>
      <c r="D26" s="15">
        <f>SUM(D21:D25)</f>
        <v/>
      </c>
      <c r="E26" s="15">
        <f>SUM(E21:E25)</f>
        <v/>
      </c>
      <c r="F26" s="15">
        <f>SUM(F21:F25)</f>
        <v/>
      </c>
      <c r="G26" s="15">
        <f>SUM(G21:G25)</f>
        <v/>
      </c>
      <c r="H26" s="15">
        <f>SUM(H21:H25)</f>
        <v/>
      </c>
      <c r="I26" s="15">
        <f>SUM(I21:I25)</f>
        <v/>
      </c>
      <c r="J26" s="15">
        <f>SUM(J21:J25)</f>
        <v/>
      </c>
      <c r="K26" s="15">
        <f>SUM(K21:K25)</f>
        <v/>
      </c>
    </row>
    <row r="28">
      <c r="A28" s="4" t="inlineStr">
        <is>
          <t>EQUITY</t>
        </is>
      </c>
      <c r="B28" s="5" t="n"/>
      <c r="C28" s="5" t="n"/>
      <c r="D28" s="5" t="n"/>
      <c r="E28" s="5" t="n"/>
      <c r="F28" s="5" t="n"/>
      <c r="G28" s="5" t="n"/>
      <c r="H28" s="5" t="n"/>
      <c r="I28" s="5" t="n"/>
      <c r="J28" s="5" t="n"/>
      <c r="K28" s="5" t="n"/>
    </row>
    <row r="29">
      <c r="A29" s="6" t="inlineStr">
        <is>
          <t>Share capital</t>
        </is>
      </c>
      <c r="B29" s="7" t="n">
        <v>7240.7</v>
      </c>
      <c r="C29" s="7" t="n">
        <v>7240.7</v>
      </c>
      <c r="D29" s="7" t="n">
        <v>7240.7</v>
      </c>
      <c r="E29" s="7" t="n">
        <v>7240.7</v>
      </c>
      <c r="F29" s="7" t="n">
        <v>7240.7</v>
      </c>
      <c r="G29" s="14" t="n">
        <v>7240.7</v>
      </c>
      <c r="H29" s="14" t="n">
        <v>7240.7</v>
      </c>
      <c r="I29" s="14" t="n">
        <v>7240.7</v>
      </c>
      <c r="J29" s="14" t="n">
        <v>7240.7</v>
      </c>
      <c r="K29" s="14" t="n">
        <v>7240.7</v>
      </c>
    </row>
    <row r="30">
      <c r="A30" s="6" t="inlineStr">
        <is>
          <t>Tier 1 sukuk</t>
        </is>
      </c>
      <c r="B30" s="7" t="n">
        <v>8264.299999999999</v>
      </c>
      <c r="C30" s="7" t="n">
        <v>8264.299999999999</v>
      </c>
      <c r="D30" s="7" t="n">
        <v>8264.299999999999</v>
      </c>
      <c r="E30" s="7" t="n">
        <v>10100.8</v>
      </c>
      <c r="F30" s="7" t="n">
        <v>7346</v>
      </c>
      <c r="G30" s="14" t="n">
        <v>7346</v>
      </c>
      <c r="H30" s="14" t="n">
        <v>7346</v>
      </c>
      <c r="I30" s="14" t="n">
        <v>7346</v>
      </c>
      <c r="J30" s="14" t="n">
        <v>7346</v>
      </c>
      <c r="K30" s="14" t="n">
        <v>7346</v>
      </c>
    </row>
    <row r="31">
      <c r="A31" s="6" t="inlineStr">
        <is>
          <t>Other reserves and treasury shares</t>
        </is>
      </c>
      <c r="B31" s="7" t="n">
        <v>14084.7</v>
      </c>
      <c r="C31" s="7" t="n">
        <v>14654.7</v>
      </c>
      <c r="D31" s="7" t="n">
        <v>14784.7</v>
      </c>
      <c r="E31" s="7" t="n">
        <v>15874.7</v>
      </c>
      <c r="F31" s="7" t="n">
        <v>16476.8</v>
      </c>
      <c r="G31" s="14" t="n">
        <v>16476.8</v>
      </c>
      <c r="H31" s="14" t="n">
        <v>16476.8</v>
      </c>
      <c r="I31" s="14" t="n">
        <v>16476.8</v>
      </c>
      <c r="J31" s="14" t="n">
        <v>16476.8</v>
      </c>
      <c r="K31" s="14" t="n">
        <v>16476.8</v>
      </c>
    </row>
    <row r="32">
      <c r="A32" s="6" t="inlineStr">
        <is>
          <t>Investments fair value reserve</t>
        </is>
      </c>
      <c r="B32" s="7" t="n">
        <v>-973</v>
      </c>
      <c r="C32" s="7" t="n">
        <v>-1062.9</v>
      </c>
      <c r="D32" s="7" t="n">
        <v>-1332</v>
      </c>
      <c r="E32" s="7" t="n">
        <v>-1267.1</v>
      </c>
      <c r="F32" s="7" t="n">
        <v>-1196.8</v>
      </c>
      <c r="G32" s="14" t="n">
        <v>-1196.8</v>
      </c>
      <c r="H32" s="14" t="n">
        <v>-1196.8</v>
      </c>
      <c r="I32" s="14" t="n">
        <v>-1196.8</v>
      </c>
      <c r="J32" s="14" t="n">
        <v>-1196.8</v>
      </c>
      <c r="K32" s="14" t="n">
        <v>-1196.8</v>
      </c>
    </row>
    <row r="33">
      <c r="A33" s="6" t="inlineStr">
        <is>
          <t>Exchange translation reserve</t>
        </is>
      </c>
      <c r="B33" s="7" t="n">
        <v>-1313.9</v>
      </c>
      <c r="C33" s="7" t="n">
        <v>-1565.7</v>
      </c>
      <c r="D33" s="7" t="n">
        <v>-1741.4</v>
      </c>
      <c r="E33" s="7" t="n">
        <v>-2028.7</v>
      </c>
      <c r="F33" s="7" t="n">
        <v>-2371.1</v>
      </c>
      <c r="G33" s="14" t="n">
        <v>-2471</v>
      </c>
      <c r="H33" s="14" t="n">
        <v>-2571</v>
      </c>
      <c r="I33" s="14" t="n">
        <v>-2671</v>
      </c>
      <c r="J33" s="14" t="n">
        <v>-2771</v>
      </c>
      <c r="K33" s="14" t="n">
        <v>-2871</v>
      </c>
    </row>
    <row r="34">
      <c r="A34" s="6" t="inlineStr">
        <is>
          <t>Retained earnings</t>
        </is>
      </c>
      <c r="B34" s="7" t="n">
        <v>11563.3</v>
      </c>
      <c r="C34" s="7" t="n">
        <v>13772.6</v>
      </c>
      <c r="D34" s="7" t="n">
        <v>17341.1</v>
      </c>
      <c r="E34" s="7" t="n">
        <v>19904.4</v>
      </c>
      <c r="F34" s="7" t="n">
        <v>22412.4</v>
      </c>
      <c r="G34" s="16">
        <f>F34+'Income Statement'!G39-'Income Statement'!G43/100*7240.7/1000*1000+'Income Statement'!G41</f>
        <v/>
      </c>
      <c r="H34" s="16">
        <f>G34+'Income Statement'!H39-'Income Statement'!H43/100*7240.7/1000*1000+'Income Statement'!H41</f>
        <v/>
      </c>
      <c r="I34" s="16">
        <f>H34+'Income Statement'!I39-'Income Statement'!I43/100*7240.7/1000*1000+'Income Statement'!I41</f>
        <v/>
      </c>
      <c r="J34" s="16">
        <f>I34+'Income Statement'!J39-'Income Statement'!J43/100*7240.7/1000*1000+'Income Statement'!J41</f>
        <v/>
      </c>
      <c r="K34" s="16">
        <f>J34+'Income Statement'!K39-'Income Statement'!K43/100*7240.7/1000*1000+'Income Statement'!K41</f>
        <v/>
      </c>
    </row>
    <row r="35">
      <c r="A35" s="10" t="inlineStr">
        <is>
          <t>Equity attributable to owners and T1 holders</t>
        </is>
      </c>
      <c r="B35" s="11">
        <f>SUM(B29:B34)</f>
        <v/>
      </c>
      <c r="C35" s="11">
        <f>SUM(C29:C34)</f>
        <v/>
      </c>
      <c r="D35" s="11">
        <f>SUM(D29:D34)</f>
        <v/>
      </c>
      <c r="E35" s="11">
        <f>SUM(E29:E34)</f>
        <v/>
      </c>
      <c r="F35" s="11">
        <f>SUM(F29:F34)</f>
        <v/>
      </c>
      <c r="G35" s="11">
        <f>SUM(G29:G34)</f>
        <v/>
      </c>
      <c r="H35" s="11">
        <f>SUM(H29:H34)</f>
        <v/>
      </c>
      <c r="I35" s="11">
        <f>SUM(I29:I34)</f>
        <v/>
      </c>
      <c r="J35" s="11">
        <f>SUM(J29:J34)</f>
        <v/>
      </c>
      <c r="K35" s="11">
        <f>SUM(K29:K34)</f>
        <v/>
      </c>
    </row>
    <row r="36">
      <c r="A36" s="6" t="inlineStr">
        <is>
          <t>Non-controlling interests</t>
        </is>
      </c>
      <c r="B36" s="7" t="n">
        <v>2598.5</v>
      </c>
      <c r="C36" s="7" t="n">
        <v>2671.3</v>
      </c>
      <c r="D36" s="7" t="n">
        <v>2876.8</v>
      </c>
      <c r="E36" s="7" t="n">
        <v>3028.1</v>
      </c>
      <c r="F36" s="7" t="n">
        <v>3227.5</v>
      </c>
      <c r="G36" s="16">
        <f>F36+'Income Statement'!G37-100</f>
        <v/>
      </c>
      <c r="H36" s="16">
        <f>G36+'Income Statement'!H37-100</f>
        <v/>
      </c>
      <c r="I36" s="16">
        <f>H36+'Income Statement'!I37-100</f>
        <v/>
      </c>
      <c r="J36" s="16">
        <f>I36+'Income Statement'!J37-100</f>
        <v/>
      </c>
      <c r="K36" s="16">
        <f>J36+'Income Statement'!K37-100</f>
        <v/>
      </c>
    </row>
    <row r="37">
      <c r="A37" s="10" t="inlineStr">
        <is>
          <t>TOTAL EQUITY</t>
        </is>
      </c>
      <c r="B37" s="11">
        <f>B35+B36</f>
        <v/>
      </c>
      <c r="C37" s="11">
        <f>C35+C36</f>
        <v/>
      </c>
      <c r="D37" s="11">
        <f>D35+D36</f>
        <v/>
      </c>
      <c r="E37" s="11">
        <f>E35+E36</f>
        <v/>
      </c>
      <c r="F37" s="11">
        <f>F35+F36</f>
        <v/>
      </c>
      <c r="G37" s="11">
        <f>G35+G36</f>
        <v/>
      </c>
      <c r="H37" s="11">
        <f>H35+H36</f>
        <v/>
      </c>
      <c r="I37" s="11">
        <f>I35+I36</f>
        <v/>
      </c>
      <c r="J37" s="11">
        <f>J35+J36</f>
        <v/>
      </c>
      <c r="K37" s="11">
        <f>K35+K36</f>
        <v/>
      </c>
    </row>
    <row r="38">
      <c r="A38" s="10" t="inlineStr">
        <is>
          <t>TOTAL LIABILITIES AND EQUITY</t>
        </is>
      </c>
      <c r="B38" s="15">
        <f>B26+B37</f>
        <v/>
      </c>
      <c r="C38" s="15">
        <f>C26+C37</f>
        <v/>
      </c>
      <c r="D38" s="15">
        <f>D26+D37</f>
        <v/>
      </c>
      <c r="E38" s="15">
        <f>E26+E37</f>
        <v/>
      </c>
      <c r="F38" s="15">
        <f>F26+F37</f>
        <v/>
      </c>
      <c r="G38" s="15">
        <f>G26+G37</f>
        <v/>
      </c>
      <c r="H38" s="15">
        <f>H26+H37</f>
        <v/>
      </c>
      <c r="I38" s="15">
        <f>I26+I37</f>
        <v/>
      </c>
      <c r="J38" s="15">
        <f>J26+J37</f>
        <v/>
      </c>
      <c r="K38" s="15">
        <f>K26+K37</f>
        <v/>
      </c>
    </row>
    <row r="39">
      <c r="A39" s="6" t="inlineStr">
        <is>
          <t>BALANCE CHECK (assets minus liabilities + equity)</t>
        </is>
      </c>
      <c r="B39" s="7">
        <f>B17-B38</f>
        <v/>
      </c>
      <c r="C39" s="7">
        <f>C17-C38</f>
        <v/>
      </c>
      <c r="D39" s="7">
        <f>D17-D38</f>
        <v/>
      </c>
      <c r="E39" s="7">
        <f>E17-E38</f>
        <v/>
      </c>
      <c r="F39" s="7">
        <f>F17-F38</f>
        <v/>
      </c>
      <c r="G39" s="7">
        <f>G17-G38</f>
        <v/>
      </c>
      <c r="H39" s="7">
        <f>H17-H38</f>
        <v/>
      </c>
      <c r="I39" s="7">
        <f>I17-I38</f>
        <v/>
      </c>
      <c r="J39" s="7">
        <f>J17-J38</f>
        <v/>
      </c>
      <c r="K39" s="7">
        <f>K17-K38</f>
        <v/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>
      <c r="A1" s="1" t="inlineStr">
        <is>
          <t>Dubai Islamic Bank — Cash Flow Statement</t>
        </is>
      </c>
    </row>
    <row r="2">
      <c r="A2" s="2" t="inlineStr">
        <is>
          <t>AED millions · FY2021-2025: audited summary lines · 2026E-2030E: derived from model balance sheet movements  ·  Blue = input/assumption · Black = actual/formula · Green = link</t>
        </is>
      </c>
    </row>
    <row r="4">
      <c r="B4" s="3" t="inlineStr">
        <is>
          <t>FY2021A</t>
        </is>
      </c>
      <c r="C4" s="3" t="inlineStr">
        <is>
          <t>FY2022A</t>
        </is>
      </c>
      <c r="D4" s="3" t="inlineStr">
        <is>
          <t>FY2023A</t>
        </is>
      </c>
      <c r="E4" s="3" t="inlineStr">
        <is>
          <t>FY2024A</t>
        </is>
      </c>
      <c r="F4" s="3" t="inlineStr">
        <is>
          <t>FY2025A</t>
        </is>
      </c>
      <c r="G4" s="3" t="inlineStr">
        <is>
          <t>FY2026E</t>
        </is>
      </c>
      <c r="H4" s="3" t="inlineStr">
        <is>
          <t>FY2027E</t>
        </is>
      </c>
      <c r="I4" s="3" t="inlineStr">
        <is>
          <t>FY2028E</t>
        </is>
      </c>
      <c r="J4" s="3" t="inlineStr">
        <is>
          <t>FY2029E</t>
        </is>
      </c>
      <c r="K4" s="3" t="inlineStr">
        <is>
          <t>FY2030E</t>
        </is>
      </c>
    </row>
    <row r="6">
      <c r="A6" s="4" t="inlineStr">
        <is>
          <t>OPERATING ACTIVITIES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</row>
    <row r="7">
      <c r="A7" s="6" t="inlineStr">
        <is>
          <t>Profit before income tax</t>
        </is>
      </c>
      <c r="G7" s="16">
        <f>'Income Statement'!G32</f>
        <v/>
      </c>
      <c r="H7" s="16">
        <f>'Income Statement'!H32</f>
        <v/>
      </c>
      <c r="I7" s="16">
        <f>'Income Statement'!I32</f>
        <v/>
      </c>
      <c r="J7" s="16">
        <f>'Income Statement'!J32</f>
        <v/>
      </c>
      <c r="K7" s="16">
        <f>'Income Statement'!K32</f>
        <v/>
      </c>
    </row>
    <row r="8">
      <c r="A8" s="6" t="inlineStr">
        <is>
          <t>Add back: impairment charges, net</t>
        </is>
      </c>
      <c r="G8" s="16">
        <f>-'Income Statement'!G29</f>
        <v/>
      </c>
      <c r="H8" s="16">
        <f>-'Income Statement'!H29</f>
        <v/>
      </c>
      <c r="I8" s="16">
        <f>-'Income Statement'!I29</f>
        <v/>
      </c>
      <c r="J8" s="16">
        <f>-'Income Statement'!J29</f>
        <v/>
      </c>
      <c r="K8" s="16">
        <f>-'Income Statement'!K29</f>
        <v/>
      </c>
    </row>
    <row r="9">
      <c r="A9" s="6" t="inlineStr">
        <is>
          <t>Add back: depreciation</t>
        </is>
      </c>
      <c r="G9" s="16">
        <f>-('Income Statement'!G23+'Income Statement'!G24)</f>
        <v/>
      </c>
      <c r="H9" s="16">
        <f>-('Income Statement'!H23+'Income Statement'!H24)</f>
        <v/>
      </c>
      <c r="I9" s="16">
        <f>-('Income Statement'!I23+'Income Statement'!I24)</f>
        <v/>
      </c>
      <c r="J9" s="16">
        <f>-('Income Statement'!J23+'Income Statement'!J24)</f>
        <v/>
      </c>
      <c r="K9" s="16">
        <f>-('Income Statement'!K23+'Income Statement'!K24)</f>
        <v/>
      </c>
    </row>
    <row r="10">
      <c r="A10" s="6" t="inlineStr">
        <is>
          <t>(Increase) in net financing assets (incl. charge-offs)</t>
        </is>
      </c>
      <c r="G10" s="16">
        <f>-('Balance Sheet'!G9-'Balance Sheet'!F9)+'Income Statement'!G29</f>
        <v/>
      </c>
      <c r="H10" s="16">
        <f>-('Balance Sheet'!H9-'Balance Sheet'!G9)+'Income Statement'!H29</f>
        <v/>
      </c>
      <c r="I10" s="16">
        <f>-('Balance Sheet'!I9-'Balance Sheet'!H9)+'Income Statement'!I29</f>
        <v/>
      </c>
      <c r="J10" s="16">
        <f>-('Balance Sheet'!J9-'Balance Sheet'!I9)+'Income Statement'!J29</f>
        <v/>
      </c>
      <c r="K10" s="16">
        <f>-('Balance Sheet'!K9-'Balance Sheet'!J9)+'Income Statement'!K29</f>
        <v/>
      </c>
    </row>
    <row r="11">
      <c r="A11" s="6" t="inlineStr">
        <is>
          <t>(Increase) in receivables and other assets</t>
        </is>
      </c>
      <c r="G11" s="16">
        <f>-('Balance Sheet'!G15-'Balance Sheet'!F15)</f>
        <v/>
      </c>
      <c r="H11" s="16">
        <f>-('Balance Sheet'!H15-'Balance Sheet'!G15)</f>
        <v/>
      </c>
      <c r="I11" s="16">
        <f>-('Balance Sheet'!I15-'Balance Sheet'!H15)</f>
        <v/>
      </c>
      <c r="J11" s="16">
        <f>-('Balance Sheet'!J15-'Balance Sheet'!I15)</f>
        <v/>
      </c>
      <c r="K11" s="16">
        <f>-('Balance Sheet'!K15-'Balance Sheet'!J15)</f>
        <v/>
      </c>
    </row>
    <row r="12">
      <c r="A12" s="6" t="inlineStr">
        <is>
          <t>Increase in customers' deposits</t>
        </is>
      </c>
      <c r="G12" s="16">
        <f>'Balance Sheet'!G21-'Balance Sheet'!F21</f>
        <v/>
      </c>
      <c r="H12" s="16">
        <f>'Balance Sheet'!H21-'Balance Sheet'!G21</f>
        <v/>
      </c>
      <c r="I12" s="16">
        <f>'Balance Sheet'!I21-'Balance Sheet'!H21</f>
        <v/>
      </c>
      <c r="J12" s="16">
        <f>'Balance Sheet'!J21-'Balance Sheet'!I21</f>
        <v/>
      </c>
      <c r="K12" s="16">
        <f>'Balance Sheet'!K21-'Balance Sheet'!J21</f>
        <v/>
      </c>
    </row>
    <row r="13">
      <c r="A13" s="6" t="inlineStr">
        <is>
          <t>Increase/(decrease) in due to banks</t>
        </is>
      </c>
      <c r="G13" s="16">
        <f>'Balance Sheet'!G22-'Balance Sheet'!F22</f>
        <v/>
      </c>
      <c r="H13" s="16">
        <f>'Balance Sheet'!H22-'Balance Sheet'!G22</f>
        <v/>
      </c>
      <c r="I13" s="16">
        <f>'Balance Sheet'!I22-'Balance Sheet'!H22</f>
        <v/>
      </c>
      <c r="J13" s="16">
        <f>'Balance Sheet'!J22-'Balance Sheet'!I22</f>
        <v/>
      </c>
      <c r="K13" s="16">
        <f>'Balance Sheet'!K22-'Balance Sheet'!J22</f>
        <v/>
      </c>
    </row>
    <row r="14">
      <c r="A14" s="6" t="inlineStr">
        <is>
          <t>Increase in other liabilities and zakat</t>
        </is>
      </c>
      <c r="G14" s="16">
        <f>('Balance Sheet'!G24-'Balance Sheet'!F24)+('Balance Sheet'!G25-'Balance Sheet'!F25)</f>
        <v/>
      </c>
      <c r="H14" s="16">
        <f>('Balance Sheet'!H24-'Balance Sheet'!G24)+('Balance Sheet'!H25-'Balance Sheet'!G25)</f>
        <v/>
      </c>
      <c r="I14" s="16">
        <f>('Balance Sheet'!I24-'Balance Sheet'!H24)+('Balance Sheet'!I25-'Balance Sheet'!H25)</f>
        <v/>
      </c>
      <c r="J14" s="16">
        <f>('Balance Sheet'!J24-'Balance Sheet'!I24)+('Balance Sheet'!J25-'Balance Sheet'!I25)</f>
        <v/>
      </c>
      <c r="K14" s="16">
        <f>('Balance Sheet'!K24-'Balance Sheet'!J24)+('Balance Sheet'!K25-'Balance Sheet'!J25)</f>
        <v/>
      </c>
    </row>
    <row r="15">
      <c r="A15" s="6" t="inlineStr">
        <is>
          <t>Income tax paid</t>
        </is>
      </c>
      <c r="G15" s="16">
        <f>'Income Statement'!G33</f>
        <v/>
      </c>
      <c r="H15" s="16">
        <f>'Income Statement'!H33</f>
        <v/>
      </c>
      <c r="I15" s="16">
        <f>'Income Statement'!I33</f>
        <v/>
      </c>
      <c r="J15" s="16">
        <f>'Income Statement'!J33</f>
        <v/>
      </c>
      <c r="K15" s="16">
        <f>'Income Statement'!K33</f>
        <v/>
      </c>
    </row>
    <row r="16">
      <c r="A16" s="10" t="inlineStr">
        <is>
          <t>NET CASH FROM OPERATING ACTIVITIES</t>
        </is>
      </c>
      <c r="B16" s="11" t="n">
        <v>5928.6</v>
      </c>
      <c r="C16" s="11" t="n">
        <v>7408.8</v>
      </c>
      <c r="D16" s="11" t="n">
        <v>20155.5</v>
      </c>
      <c r="E16" s="11" t="n">
        <v>15259.8</v>
      </c>
      <c r="F16" s="11" t="n">
        <v>12982.9</v>
      </c>
      <c r="G16" s="11">
        <f>SUM(G7:G15)</f>
        <v/>
      </c>
      <c r="H16" s="11">
        <f>SUM(H7:H15)</f>
        <v/>
      </c>
      <c r="I16" s="11">
        <f>SUM(I7:I15)</f>
        <v/>
      </c>
      <c r="J16" s="11">
        <f>SUM(J7:J15)</f>
        <v/>
      </c>
      <c r="K16" s="11">
        <f>SUM(K7:K15)</f>
        <v/>
      </c>
    </row>
    <row r="18">
      <c r="A18" s="4" t="inlineStr">
        <is>
          <t>INVESTING ACTIVITIES</t>
        </is>
      </c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  <c r="K18" s="5" t="n"/>
    </row>
    <row r="19">
      <c r="A19" s="6" t="inlineStr">
        <is>
          <t>(Increase) in sukuk investments</t>
        </is>
      </c>
      <c r="G19" s="16">
        <f>-('Balance Sheet'!G10-'Balance Sheet'!F10)</f>
        <v/>
      </c>
      <c r="H19" s="16">
        <f>-('Balance Sheet'!H10-'Balance Sheet'!G10)</f>
        <v/>
      </c>
      <c r="I19" s="16">
        <f>-('Balance Sheet'!I10-'Balance Sheet'!H10)</f>
        <v/>
      </c>
      <c r="J19" s="16">
        <f>-('Balance Sheet'!J10-'Balance Sheet'!I10)</f>
        <v/>
      </c>
      <c r="K19" s="16">
        <f>-('Balance Sheet'!K10-'Balance Sheet'!J10)</f>
        <v/>
      </c>
    </row>
    <row r="20">
      <c r="A20" s="6" t="inlineStr">
        <is>
          <t>(Increase)/decrease in other investment assets, net</t>
        </is>
      </c>
      <c r="G20" s="16">
        <f>-(('Balance Sheet'!G11+'Balance Sheet'!G12+'Balance Sheet'!G13+'Balance Sheet'!G14)-('Balance Sheet'!F11+'Balance Sheet'!F12+'Balance Sheet'!F13+'Balance Sheet'!F14))</f>
        <v/>
      </c>
      <c r="H20" s="16">
        <f>-(('Balance Sheet'!H11+'Balance Sheet'!H12+'Balance Sheet'!H13+'Balance Sheet'!H14)-('Balance Sheet'!G11+'Balance Sheet'!G12+'Balance Sheet'!G13+'Balance Sheet'!G14))</f>
        <v/>
      </c>
      <c r="I20" s="16">
        <f>-(('Balance Sheet'!I11+'Balance Sheet'!I12+'Balance Sheet'!I13+'Balance Sheet'!I14)-('Balance Sheet'!H11+'Balance Sheet'!H12+'Balance Sheet'!H13+'Balance Sheet'!H14))</f>
        <v/>
      </c>
      <c r="J20" s="16">
        <f>-(('Balance Sheet'!J11+'Balance Sheet'!J12+'Balance Sheet'!J13+'Balance Sheet'!J14)-('Balance Sheet'!I11+'Balance Sheet'!I12+'Balance Sheet'!I13+'Balance Sheet'!I14))</f>
        <v/>
      </c>
      <c r="K20" s="16">
        <f>-(('Balance Sheet'!K11+'Balance Sheet'!K12+'Balance Sheet'!K13+'Balance Sheet'!K14)-('Balance Sheet'!J11+'Balance Sheet'!J12+'Balance Sheet'!J13+'Balance Sheet'!J14))</f>
        <v/>
      </c>
    </row>
    <row r="21">
      <c r="A21" s="6" t="inlineStr">
        <is>
          <t>Purchase of property and equipment, net</t>
        </is>
      </c>
      <c r="G21" s="16">
        <f>-('Balance Sheet'!G16-'Balance Sheet'!F16)+'Income Statement'!G24</f>
        <v/>
      </c>
      <c r="H21" s="16">
        <f>-('Balance Sheet'!H16-'Balance Sheet'!G16)+'Income Statement'!H24</f>
        <v/>
      </c>
      <c r="I21" s="16">
        <f>-('Balance Sheet'!I16-'Balance Sheet'!H16)+'Income Statement'!I24</f>
        <v/>
      </c>
      <c r="J21" s="16">
        <f>-('Balance Sheet'!J16-'Balance Sheet'!I16)+'Income Statement'!J24</f>
        <v/>
      </c>
      <c r="K21" s="16">
        <f>-('Balance Sheet'!K16-'Balance Sheet'!J16)+'Income Statement'!K24</f>
        <v/>
      </c>
    </row>
    <row r="22">
      <c r="A22" s="10" t="inlineStr">
        <is>
          <t>NET CASH FROM INVESTING ACTIVITIES</t>
        </is>
      </c>
      <c r="B22" s="11" t="n">
        <v>-5700.1</v>
      </c>
      <c r="C22" s="11" t="n">
        <v>-10203.3</v>
      </c>
      <c r="D22" s="11" t="n">
        <v>-16005</v>
      </c>
      <c r="E22" s="11" t="n">
        <v>-12687.7</v>
      </c>
      <c r="F22" s="11" t="n">
        <v>-7776.6</v>
      </c>
      <c r="G22" s="11">
        <f>SUM(G19:G21)</f>
        <v/>
      </c>
      <c r="H22" s="11">
        <f>SUM(H19:H21)</f>
        <v/>
      </c>
      <c r="I22" s="11">
        <f>SUM(I19:I21)</f>
        <v/>
      </c>
      <c r="J22" s="11">
        <f>SUM(J19:J21)</f>
        <v/>
      </c>
      <c r="K22" s="11">
        <f>SUM(K19:K21)</f>
        <v/>
      </c>
    </row>
    <row r="24">
      <c r="A24" s="4" t="inlineStr">
        <is>
          <t>FINANCING ACTIVITIES</t>
        </is>
      </c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  <c r="K24" s="5" t="n"/>
    </row>
    <row r="25">
      <c r="A25" s="6" t="inlineStr">
        <is>
          <t>Sukuk issued/(redeemed), net</t>
        </is>
      </c>
      <c r="G25" s="16">
        <f>'Balance Sheet'!G23-'Balance Sheet'!F23</f>
        <v/>
      </c>
      <c r="H25" s="16">
        <f>'Balance Sheet'!H23-'Balance Sheet'!G23</f>
        <v/>
      </c>
      <c r="I25" s="16">
        <f>'Balance Sheet'!I23-'Balance Sheet'!H23</f>
        <v/>
      </c>
      <c r="J25" s="16">
        <f>'Balance Sheet'!J23-'Balance Sheet'!I23</f>
        <v/>
      </c>
      <c r="K25" s="16">
        <f>'Balance Sheet'!K23-'Balance Sheet'!J23</f>
        <v/>
      </c>
    </row>
    <row r="26">
      <c r="A26" s="6" t="inlineStr">
        <is>
          <t>Dividends paid to owners</t>
        </is>
      </c>
      <c r="B26" s="7" t="n">
        <v>-1445.4</v>
      </c>
      <c r="C26" s="7" t="n">
        <v>-1806.8</v>
      </c>
      <c r="D26" s="7" t="n">
        <v>-2168.1</v>
      </c>
      <c r="E26" s="7" t="n">
        <v>-3348.5</v>
      </c>
      <c r="F26" s="7" t="n">
        <v>-3372.6</v>
      </c>
      <c r="G26" s="16">
        <f>-'Income Statement'!G43/100*7240.7/1000*1000</f>
        <v/>
      </c>
      <c r="H26" s="16">
        <f>-'Income Statement'!H43/100*7240.7/1000*1000</f>
        <v/>
      </c>
      <c r="I26" s="16">
        <f>-'Income Statement'!I43/100*7240.7/1000*1000</f>
        <v/>
      </c>
      <c r="J26" s="16">
        <f>-'Income Statement'!J43/100*7240.7/1000*1000</f>
        <v/>
      </c>
      <c r="K26" s="16">
        <f>-'Income Statement'!K43/100*7240.7/1000*1000</f>
        <v/>
      </c>
    </row>
    <row r="27">
      <c r="A27" s="6" t="inlineStr">
        <is>
          <t>Tier 1 sukuk coupons and NCI dividends</t>
        </is>
      </c>
      <c r="G27" s="14">
        <f>-520</f>
        <v/>
      </c>
      <c r="H27" s="14">
        <f>-520</f>
        <v/>
      </c>
      <c r="I27" s="14">
        <f>-520</f>
        <v/>
      </c>
      <c r="J27" s="14">
        <f>-520</f>
        <v/>
      </c>
      <c r="K27" s="14">
        <f>-520</f>
        <v/>
      </c>
    </row>
    <row r="28">
      <c r="A28" s="10" t="inlineStr">
        <is>
          <t>NET CASH FROM FINANCING ACTIVITIES</t>
        </is>
      </c>
      <c r="B28" s="11" t="n">
        <v>-3840.8</v>
      </c>
      <c r="C28" s="11" t="n">
        <v>-374.6</v>
      </c>
      <c r="D28" s="11" t="n">
        <v>-4408.6</v>
      </c>
      <c r="E28" s="11" t="n">
        <v>1262.3</v>
      </c>
      <c r="F28" s="11" t="n">
        <v>-6205.6</v>
      </c>
      <c r="G28" s="11">
        <f>SUM(G25:G27)</f>
        <v/>
      </c>
      <c r="H28" s="11">
        <f>SUM(H25:H27)</f>
        <v/>
      </c>
      <c r="I28" s="11">
        <f>SUM(I25:I27)</f>
        <v/>
      </c>
      <c r="J28" s="11">
        <f>SUM(J25:J27)</f>
        <v/>
      </c>
      <c r="K28" s="11">
        <f>SUM(K25:K27)</f>
        <v/>
      </c>
    </row>
    <row r="30">
      <c r="A30" s="10" t="inlineStr">
        <is>
          <t>NET CHANGE IN CASH</t>
        </is>
      </c>
      <c r="B30" s="11" t="n">
        <v>-3612.2</v>
      </c>
      <c r="C30" s="11" t="n">
        <v>-3169.2</v>
      </c>
      <c r="D30" s="11" t="n">
        <v>-258.2</v>
      </c>
      <c r="E30" s="11" t="n">
        <v>3834.4</v>
      </c>
      <c r="F30" s="11" t="n">
        <v>-999.2</v>
      </c>
      <c r="G30" s="11">
        <f>G16+G22+G28</f>
        <v/>
      </c>
      <c r="H30" s="11">
        <f>H16+H22+H28</f>
        <v/>
      </c>
      <c r="I30" s="11">
        <f>I16+I22+I28</f>
        <v/>
      </c>
      <c r="J30" s="11">
        <f>J16+J22+J28</f>
        <v/>
      </c>
      <c r="K30" s="11">
        <f>K16+K22+K28</f>
        <v/>
      </c>
    </row>
    <row r="31">
      <c r="A31" s="6" t="inlineStr">
        <is>
          <t>Other/balancing vs balance sheet cash (reconciliation)</t>
        </is>
      </c>
      <c r="G31" s="16">
        <f>('Balance Sheet'!G7+'Balance Sheet'!G8)-('Balance Sheet'!F7+'Balance Sheet'!F8)-G30</f>
        <v/>
      </c>
      <c r="H31" s="16">
        <f>('Balance Sheet'!H7+'Balance Sheet'!H8)-('Balance Sheet'!G7+'Balance Sheet'!G8)-H30</f>
        <v/>
      </c>
      <c r="I31" s="16">
        <f>('Balance Sheet'!I7+'Balance Sheet'!I8)-('Balance Sheet'!H7+'Balance Sheet'!H8)-I30</f>
        <v/>
      </c>
      <c r="J31" s="16">
        <f>('Balance Sheet'!J7+'Balance Sheet'!J8)-('Balance Sheet'!I7+'Balance Sheet'!I8)-J30</f>
        <v/>
      </c>
      <c r="K31" s="16">
        <f>('Balance Sheet'!K7+'Balance Sheet'!K8)-('Balance Sheet'!J7+'Balance Sheet'!J8)-K30</f>
        <v/>
      </c>
    </row>
    <row r="32">
      <c r="A32" s="6" t="inlineStr">
        <is>
          <t>Cash and balances with central banks, EOP (per BS)</t>
        </is>
      </c>
      <c r="B32" s="16">
        <f>'Balance Sheet'!B7</f>
        <v/>
      </c>
      <c r="C32" s="16">
        <f>'Balance Sheet'!C7</f>
        <v/>
      </c>
      <c r="D32" s="16">
        <f>'Balance Sheet'!D7</f>
        <v/>
      </c>
      <c r="E32" s="16">
        <f>'Balance Sheet'!E7</f>
        <v/>
      </c>
      <c r="F32" s="16">
        <f>'Balance Sheet'!F7</f>
        <v/>
      </c>
      <c r="G32" s="16">
        <f>'Balance Sheet'!G7</f>
        <v/>
      </c>
      <c r="H32" s="16">
        <f>'Balance Sheet'!H7</f>
        <v/>
      </c>
      <c r="I32" s="16">
        <f>'Balance Sheet'!I7</f>
        <v/>
      </c>
      <c r="J32" s="16">
        <f>'Balance Sheet'!J7</f>
        <v/>
      </c>
      <c r="K32" s="16">
        <f>'Balance Sheet'!K7</f>
        <v/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52" customWidth="1" min="1" max="1"/>
    <col width="13" customWidth="1" min="2" max="2"/>
    <col width="13" customWidth="1" min="3" max="3"/>
    <col width="13" customWidth="1" min="4" max="4"/>
  </cols>
  <sheetData>
    <row r="1">
      <c r="A1" s="1" t="inlineStr">
        <is>
          <t>Dubai Islamic Bank — Scenario Analysis (2030E outcomes)</t>
        </is>
      </c>
    </row>
    <row r="2">
      <c r="A2" s="2" t="inlineStr">
        <is>
          <t>AED millions · Simplified scenario engine on 2025 audited base · Base case corresponds to the full model assumptions</t>
        </is>
      </c>
    </row>
    <row r="4">
      <c r="B4" s="3" t="inlineStr">
        <is>
          <t>Bull</t>
        </is>
      </c>
      <c r="C4" s="3" t="inlineStr">
        <is>
          <t>Base</t>
        </is>
      </c>
      <c r="D4" s="3" t="inlineStr">
        <is>
          <t>Bear</t>
        </is>
      </c>
    </row>
    <row r="6">
      <c r="A6" s="4" t="inlineStr">
        <is>
          <t>ASSUMPTIONS (2026E-2030E)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</row>
    <row r="7">
      <c r="A7" s="6" t="inlineStr">
        <is>
          <t>Earning asset growth, CAGR %</t>
        </is>
      </c>
      <c r="B7" s="9" t="n">
        <v>0.11</v>
      </c>
      <c r="C7" s="9" t="n">
        <v>0.08</v>
      </c>
      <c r="D7" s="9" t="n">
        <v>0.05</v>
      </c>
    </row>
    <row r="8">
      <c r="A8" s="6" t="inlineStr">
        <is>
          <t>Net profit margin (NFI / avg earning assets) %</t>
        </is>
      </c>
      <c r="B8" s="13" t="n">
        <v>0.0245</v>
      </c>
      <c r="C8" s="13" t="n">
        <v>0.023</v>
      </c>
      <c r="D8" s="13" t="n">
        <v>0.021</v>
      </c>
    </row>
    <row r="9">
      <c r="A9" s="6" t="inlineStr">
        <is>
          <t>Non-funded income growth p.a. %</t>
        </is>
      </c>
      <c r="B9" s="9" t="n">
        <v>0.06</v>
      </c>
      <c r="C9" s="9" t="n">
        <v>0.04</v>
      </c>
      <c r="D9" s="9" t="n">
        <v>0.02</v>
      </c>
    </row>
    <row r="10">
      <c r="A10" s="6" t="inlineStr">
        <is>
          <t>Cost-to-income ratio %</t>
        </is>
      </c>
      <c r="B10" s="9" t="n">
        <v>0.27</v>
      </c>
      <c r="C10" s="9" t="n">
        <v>0.295</v>
      </c>
      <c r="D10" s="9" t="n">
        <v>0.315</v>
      </c>
    </row>
    <row r="11">
      <c r="A11" s="6" t="inlineStr">
        <is>
          <t>Cost of risk (bps on avg financing)</t>
        </is>
      </c>
      <c r="B11" s="18" t="n">
        <v>30</v>
      </c>
      <c r="C11" s="18" t="n">
        <v>42</v>
      </c>
      <c r="D11" s="18" t="n">
        <v>65</v>
      </c>
    </row>
    <row r="12">
      <c r="A12" s="6" t="inlineStr">
        <is>
          <t>Effective tax rate %</t>
        </is>
      </c>
      <c r="B12" s="9" t="n">
        <v>0.15</v>
      </c>
      <c r="C12" s="9" t="n">
        <v>0.15</v>
      </c>
      <c r="D12" s="9" t="n">
        <v>0.15</v>
      </c>
    </row>
    <row r="14">
      <c r="A14" s="4" t="inlineStr">
        <is>
          <t>OUTPUTS, 2030E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</row>
    <row r="15">
      <c r="A15" s="6" t="inlineStr">
        <is>
          <t>Total earning assets 2030E (2025A: 352,643.7)</t>
        </is>
      </c>
      <c r="B15" s="7">
        <f>352643.7*(1+B7)^5</f>
        <v/>
      </c>
      <c r="C15" s="7">
        <f>352643.7*(1+C7)^5</f>
        <v/>
      </c>
      <c r="D15" s="7">
        <f>352643.7*(1+D7)^5</f>
        <v/>
      </c>
    </row>
    <row r="16">
      <c r="A16" s="6" t="inlineStr">
        <is>
          <t>Average earning assets 2030E</t>
        </is>
      </c>
      <c r="B16" s="7">
        <f>352643.7*((1+B7)^4+(1+B7)^5)/2</f>
        <v/>
      </c>
      <c r="C16" s="7">
        <f>352643.7*((1+C7)^4+(1+C7)^5)/2</f>
        <v/>
      </c>
      <c r="D16" s="7">
        <f>352643.7*((1+D7)^4+(1+D7)^5)/2</f>
        <v/>
      </c>
    </row>
    <row r="17">
      <c r="A17" s="6" t="inlineStr">
        <is>
          <t>Net funded income 2030E</t>
        </is>
      </c>
      <c r="B17" s="7">
        <f>B8*B16</f>
        <v/>
      </c>
      <c r="C17" s="7">
        <f>C8*C16</f>
        <v/>
      </c>
      <c r="D17" s="7">
        <f>D8*D16</f>
        <v/>
      </c>
    </row>
    <row r="18">
      <c r="A18" s="6" t="inlineStr">
        <is>
          <t>Non-funded income 2030E (2025A: 4,279.2)</t>
        </is>
      </c>
      <c r="B18" s="7">
        <f>4279.2*(1+B9)^5</f>
        <v/>
      </c>
      <c r="C18" s="7">
        <f>4279.2*(1+C9)^5</f>
        <v/>
      </c>
      <c r="D18" s="7">
        <f>4279.2*(1+D9)^5</f>
        <v/>
      </c>
    </row>
    <row r="19">
      <c r="A19" s="10" t="inlineStr">
        <is>
          <t>Net operating revenue 2030E</t>
        </is>
      </c>
      <c r="B19" s="11">
        <f>B17+B18</f>
        <v/>
      </c>
      <c r="C19" s="11">
        <f>C17+C18</f>
        <v/>
      </c>
      <c r="D19" s="11">
        <f>D17+D18</f>
        <v/>
      </c>
    </row>
    <row r="20">
      <c r="A20" s="6" t="inlineStr">
        <is>
          <t>Operating expenses</t>
        </is>
      </c>
      <c r="B20" s="7">
        <f>-B10*B19</f>
        <v/>
      </c>
      <c r="C20" s="7">
        <f>-C10*C19</f>
        <v/>
      </c>
      <c r="D20" s="7">
        <f>-D10*D19</f>
        <v/>
      </c>
    </row>
    <row r="21">
      <c r="A21" s="6" t="inlineStr">
        <is>
          <t>Impairment charges (financing ~75% of EA)</t>
        </is>
      </c>
      <c r="B21" s="7">
        <f>-B11/10000*0.75*B16</f>
        <v/>
      </c>
      <c r="C21" s="7">
        <f>-C11/10000*0.75*C16</f>
        <v/>
      </c>
      <c r="D21" s="7">
        <f>-D11/10000*0.75*D16</f>
        <v/>
      </c>
    </row>
    <row r="22">
      <c r="A22" s="10" t="inlineStr">
        <is>
          <t>Profit before tax 2030E</t>
        </is>
      </c>
      <c r="B22" s="11">
        <f>B19+B20+B21</f>
        <v/>
      </c>
      <c r="C22" s="11">
        <f>C19+C20+C21</f>
        <v/>
      </c>
      <c r="D22" s="11">
        <f>D19+D20+D21</f>
        <v/>
      </c>
    </row>
    <row r="23">
      <c r="A23" s="6" t="inlineStr">
        <is>
          <t>Net profit 2030E</t>
        </is>
      </c>
      <c r="B23" s="7">
        <f>B22*(1-B12)</f>
        <v/>
      </c>
      <c r="C23" s="7">
        <f>C22*(1-C12)</f>
        <v/>
      </c>
      <c r="D23" s="7">
        <f>D22*(1-D12)</f>
        <v/>
      </c>
    </row>
    <row r="24">
      <c r="A24" s="6" t="inlineStr">
        <is>
          <t>Attributable to owners (95.8%)</t>
        </is>
      </c>
      <c r="B24" s="7">
        <f>B23*0.958</f>
        <v/>
      </c>
      <c r="C24" s="7">
        <f>C23*0.958</f>
        <v/>
      </c>
      <c r="D24" s="7">
        <f>D23*0.958</f>
        <v/>
      </c>
    </row>
    <row r="25">
      <c r="A25" s="6" t="inlineStr">
        <is>
          <t>EPS 2030E (AED, after T1 coupons)</t>
        </is>
      </c>
      <c r="B25" s="22">
        <f>(B24-420)/7240.7</f>
        <v/>
      </c>
      <c r="C25" s="22">
        <f>(C24-420)/7240.7</f>
        <v/>
      </c>
      <c r="D25" s="22">
        <f>(D24-420)/7240.7</f>
        <v/>
      </c>
    </row>
    <row r="26">
      <c r="A26" s="6" t="inlineStr">
        <is>
          <t>Net profit vs Base %</t>
        </is>
      </c>
      <c r="B26" s="8">
        <f>B23/$C$23-1</f>
        <v/>
      </c>
      <c r="C26" s="8">
        <f>C23/$C$23-1</f>
        <v/>
      </c>
      <c r="D26" s="8">
        <f>D23/$C$23-1</f>
        <v/>
      </c>
    </row>
    <row r="28">
      <c r="A28" s="10" t="inlineStr">
        <is>
          <t>Scenario rationale</t>
        </is>
      </c>
    </row>
    <row r="29">
      <c r="A29" s="6" t="inlineStr">
        <is>
          <t>Bull: no-landing UAE economy, financing share gains, NPM holds near 2.45%, credit costs stay benign.</t>
        </is>
      </c>
    </row>
    <row r="30">
      <c r="A30" s="6" t="inlineStr">
        <is>
          <t>Base: management guidance path; ~8% balance sheet growth, NPM 2.30%, CoR normalizes to ~42bps.</t>
        </is>
      </c>
    </row>
    <row r="31">
      <c r="A31" s="6" t="inlineStr">
        <is>
          <t>Bear: regional escalation or property correction; growth 5%, NPM 2.10%, CoR 65bps.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4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>
      <c r="A1" s="1" t="inlineStr">
        <is>
          <t>Dubai Islamic Bank — Valuation Inputs (for Task 3)</t>
        </is>
      </c>
    </row>
    <row r="2">
      <c r="A2" s="2" t="inlineStr">
        <is>
          <t>AED millions · Bank valuation: dividend capacity under CET1 constraint, cost of equity, justified P/B  ·  Blue = input/assumption · Black = actual/formula · Green = link</t>
        </is>
      </c>
    </row>
    <row r="4">
      <c r="B4" s="3" t="inlineStr">
        <is>
          <t>FY2021A</t>
        </is>
      </c>
      <c r="C4" s="3" t="inlineStr">
        <is>
          <t>FY2022A</t>
        </is>
      </c>
      <c r="D4" s="3" t="inlineStr">
        <is>
          <t>FY2023A</t>
        </is>
      </c>
      <c r="E4" s="3" t="inlineStr">
        <is>
          <t>FY2024A</t>
        </is>
      </c>
      <c r="F4" s="3" t="inlineStr">
        <is>
          <t>FY2025A</t>
        </is>
      </c>
      <c r="G4" s="3" t="inlineStr">
        <is>
          <t>FY2026E</t>
        </is>
      </c>
      <c r="H4" s="3" t="inlineStr">
        <is>
          <t>FY2027E</t>
        </is>
      </c>
      <c r="I4" s="3" t="inlineStr">
        <is>
          <t>FY2028E</t>
        </is>
      </c>
      <c r="J4" s="3" t="inlineStr">
        <is>
          <t>FY2029E</t>
        </is>
      </c>
      <c r="K4" s="3" t="inlineStr">
        <is>
          <t>FY2030E</t>
        </is>
      </c>
    </row>
    <row r="6">
      <c r="A6" s="4" t="inlineStr">
        <is>
          <t>EARNINGS AND DIVIDEND CAPACITY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</row>
    <row r="7">
      <c r="A7" s="6" t="inlineStr">
        <is>
          <t>Net profit attributable to owners</t>
        </is>
      </c>
      <c r="G7" s="16">
        <f>'Income Statement'!G39</f>
        <v/>
      </c>
      <c r="H7" s="16">
        <f>'Income Statement'!H39</f>
        <v/>
      </c>
      <c r="I7" s="16">
        <f>'Income Statement'!I39</f>
        <v/>
      </c>
      <c r="J7" s="16">
        <f>'Income Statement'!J39</f>
        <v/>
      </c>
      <c r="K7" s="16">
        <f>'Income Statement'!K39</f>
        <v/>
      </c>
    </row>
    <row r="8">
      <c r="A8" s="6" t="inlineStr">
        <is>
          <t>Less: Tier 1 sukuk coupons</t>
        </is>
      </c>
      <c r="G8" s="16">
        <f>'Income Statement'!G41</f>
        <v/>
      </c>
      <c r="H8" s="16">
        <f>'Income Statement'!H41</f>
        <v/>
      </c>
      <c r="I8" s="16">
        <f>'Income Statement'!I41</f>
        <v/>
      </c>
      <c r="J8" s="16">
        <f>'Income Statement'!J41</f>
        <v/>
      </c>
      <c r="K8" s="16">
        <f>'Income Statement'!K41</f>
        <v/>
      </c>
    </row>
    <row r="9">
      <c r="A9" s="10" t="inlineStr">
        <is>
          <t>Profit available to common</t>
        </is>
      </c>
      <c r="G9" s="11">
        <f>G7+G8</f>
        <v/>
      </c>
      <c r="H9" s="11">
        <f>H7+H8</f>
        <v/>
      </c>
      <c r="I9" s="11">
        <f>I7+I8</f>
        <v/>
      </c>
      <c r="J9" s="11">
        <f>J7+J8</f>
        <v/>
      </c>
      <c r="K9" s="11">
        <f>K7+K8</f>
        <v/>
      </c>
    </row>
    <row r="10">
      <c r="A10" s="6" t="inlineStr">
        <is>
          <t>Dividends declared</t>
        </is>
      </c>
      <c r="G10" s="16">
        <f>'Income Statement'!G43/100*7240.7/1000*1000</f>
        <v/>
      </c>
      <c r="H10" s="16">
        <f>'Income Statement'!H43/100*7240.7/1000*1000</f>
        <v/>
      </c>
      <c r="I10" s="16">
        <f>'Income Statement'!I43/100*7240.7/1000*1000</f>
        <v/>
      </c>
      <c r="J10" s="16">
        <f>'Income Statement'!J43/100*7240.7/1000*1000</f>
        <v/>
      </c>
      <c r="K10" s="16">
        <f>'Income Statement'!K43/100*7240.7/1000*1000</f>
        <v/>
      </c>
    </row>
    <row r="11">
      <c r="A11" s="6" t="inlineStr">
        <is>
          <t>Payout ratio % (of profit available to common)</t>
        </is>
      </c>
      <c r="G11" s="8">
        <f>G10/G9</f>
        <v/>
      </c>
      <c r="H11" s="8">
        <f>H10/H9</f>
        <v/>
      </c>
      <c r="I11" s="8">
        <f>I10/I9</f>
        <v/>
      </c>
      <c r="J11" s="8">
        <f>J10/J9</f>
        <v/>
      </c>
      <c r="K11" s="8">
        <f>K10/K9</f>
        <v/>
      </c>
    </row>
    <row r="12">
      <c r="A12" s="6" t="inlineStr">
        <is>
          <t>Retained (added to common equity)</t>
        </is>
      </c>
      <c r="G12" s="7">
        <f>G9-G10</f>
        <v/>
      </c>
      <c r="H12" s="7">
        <f>H9-H10</f>
        <v/>
      </c>
      <c r="I12" s="7">
        <f>I9-I10</f>
        <v/>
      </c>
      <c r="J12" s="7">
        <f>J9-J10</f>
        <v/>
      </c>
      <c r="K12" s="7">
        <f>K9-K10</f>
        <v/>
      </c>
    </row>
    <row r="14">
      <c r="A14" s="4" t="inlineStr">
        <is>
          <t>CAPITAL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</row>
    <row r="15">
      <c r="A15" s="6" t="inlineStr">
        <is>
          <t>Tangible common equity (attrib. equity less T1 sukuk)</t>
        </is>
      </c>
      <c r="B15" s="16">
        <f>'Balance Sheet'!B35-'Balance Sheet'!B30</f>
        <v/>
      </c>
      <c r="C15" s="16">
        <f>'Balance Sheet'!C35-'Balance Sheet'!C30</f>
        <v/>
      </c>
      <c r="D15" s="16">
        <f>'Balance Sheet'!D35-'Balance Sheet'!D30</f>
        <v/>
      </c>
      <c r="E15" s="16">
        <f>'Balance Sheet'!E35-'Balance Sheet'!E30</f>
        <v/>
      </c>
      <c r="F15" s="16">
        <f>'Balance Sheet'!F35-'Balance Sheet'!F30</f>
        <v/>
      </c>
      <c r="G15" s="16">
        <f>'Balance Sheet'!G35-'Balance Sheet'!G30</f>
        <v/>
      </c>
      <c r="H15" s="16">
        <f>'Balance Sheet'!H35-'Balance Sheet'!H30</f>
        <v/>
      </c>
      <c r="I15" s="16">
        <f>'Balance Sheet'!I35-'Balance Sheet'!I30</f>
        <v/>
      </c>
      <c r="J15" s="16">
        <f>'Balance Sheet'!J35-'Balance Sheet'!J30</f>
        <v/>
      </c>
      <c r="K15" s="16">
        <f>'Balance Sheet'!K35-'Balance Sheet'!K30</f>
        <v/>
      </c>
    </row>
    <row r="16">
      <c r="A16" s="6" t="inlineStr">
        <is>
          <t>Average tangible common equity</t>
        </is>
      </c>
      <c r="C16" s="7">
        <f>(C15+B15)/2</f>
        <v/>
      </c>
      <c r="D16" s="7">
        <f>(D15+C15)/2</f>
        <v/>
      </c>
      <c r="E16" s="7">
        <f>(E15+D15)/2</f>
        <v/>
      </c>
      <c r="F16" s="7">
        <f>(F15+E15)/2</f>
        <v/>
      </c>
      <c r="G16" s="7">
        <f>(G15+F15)/2</f>
        <v/>
      </c>
      <c r="H16" s="7">
        <f>(H15+G15)/2</f>
        <v/>
      </c>
      <c r="I16" s="7">
        <f>(I15+H15)/2</f>
        <v/>
      </c>
      <c r="J16" s="7">
        <f>(J15+I15)/2</f>
        <v/>
      </c>
      <c r="K16" s="7">
        <f>(K15+J15)/2</f>
        <v/>
      </c>
    </row>
    <row r="17">
      <c r="A17" s="6" t="inlineStr">
        <is>
          <t>ROTE %</t>
        </is>
      </c>
      <c r="C17" s="8">
        <f>('Income Statement'!C39+'Income Statement'!C41)/C16</f>
        <v/>
      </c>
      <c r="D17" s="8">
        <f>('Income Statement'!D39+'Income Statement'!D41)/D16</f>
        <v/>
      </c>
      <c r="E17" s="8">
        <f>('Income Statement'!E39+'Income Statement'!E41)/E16</f>
        <v/>
      </c>
      <c r="F17" s="8">
        <f>('Income Statement'!F39+'Income Statement'!F41)/F16</f>
        <v/>
      </c>
      <c r="G17" s="8">
        <f>G9/G16</f>
        <v/>
      </c>
      <c r="H17" s="8">
        <f>H9/H16</f>
        <v/>
      </c>
      <c r="I17" s="8">
        <f>I9/I16</f>
        <v/>
      </c>
      <c r="J17" s="8">
        <f>J9/J16</f>
        <v/>
      </c>
      <c r="K17" s="8">
        <f>K9/K16</f>
        <v/>
      </c>
    </row>
    <row r="18">
      <c r="A18" s="6" t="inlineStr">
        <is>
          <t>Risk-weighted assets (proxy, % of total assets)</t>
        </is>
      </c>
      <c r="F18" s="17" t="n">
        <v>305102.5809958173</v>
      </c>
      <c r="G18" s="17">
        <f>0.735*'Balance Sheet'!G17</f>
        <v/>
      </c>
      <c r="H18" s="17">
        <f>0.735*'Balance Sheet'!H17</f>
        <v/>
      </c>
      <c r="I18" s="17">
        <f>0.735*'Balance Sheet'!I17</f>
        <v/>
      </c>
      <c r="J18" s="17">
        <f>0.735*'Balance Sheet'!J17</f>
        <v/>
      </c>
      <c r="K18" s="17">
        <f>0.735*'Balance Sheet'!K17</f>
        <v/>
      </c>
    </row>
    <row r="19">
      <c r="A19" s="6" t="inlineStr">
        <is>
          <t>CET1 capital (proxy, 95% of tangible common equity)</t>
        </is>
      </c>
      <c r="G19" s="7">
        <f>0.95*G15</f>
        <v/>
      </c>
      <c r="H19" s="7">
        <f>0.95*H15</f>
        <v/>
      </c>
      <c r="I19" s="7">
        <f>0.95*I15</f>
        <v/>
      </c>
      <c r="J19" s="7">
        <f>0.95*J15</f>
        <v/>
      </c>
      <c r="K19" s="7">
        <f>0.95*K15</f>
        <v/>
      </c>
    </row>
    <row r="20">
      <c r="A20" s="6" t="inlineStr">
        <is>
          <t>CET1 ratio (proxy) %</t>
        </is>
      </c>
      <c r="G20" s="8">
        <f>G19/G18</f>
        <v/>
      </c>
      <c r="H20" s="8">
        <f>H19/H18</f>
        <v/>
      </c>
      <c r="I20" s="8">
        <f>I19/I18</f>
        <v/>
      </c>
      <c r="J20" s="8">
        <f>J19/J18</f>
        <v/>
      </c>
      <c r="K20" s="8">
        <f>K19/K18</f>
        <v/>
      </c>
    </row>
    <row r="22">
      <c r="A22" s="4" t="inlineStr">
        <is>
          <t>COST OF EQUITY (inputs)</t>
        </is>
      </c>
      <c r="B22" s="5" t="n"/>
      <c r="C22" s="5" t="n"/>
      <c r="D22" s="5" t="n"/>
      <c r="E22" s="5" t="n"/>
      <c r="F22" s="5" t="n"/>
      <c r="G22" s="5" t="n"/>
      <c r="H22" s="5" t="n"/>
      <c r="I22" s="5" t="n"/>
      <c r="J22" s="5" t="n"/>
      <c r="K22" s="5" t="n"/>
    </row>
    <row r="23">
      <c r="A23" s="6" t="inlineStr">
        <is>
          <t>Risk-free rate (10Y UST) %</t>
        </is>
      </c>
      <c r="B23" s="13" t="n">
        <v>0.04</v>
      </c>
    </row>
    <row r="24">
      <c r="A24" s="6" t="inlineStr">
        <is>
          <t>Equity risk premium %</t>
        </is>
      </c>
      <c r="B24" s="13" t="n">
        <v>0.06</v>
      </c>
    </row>
    <row r="25">
      <c r="A25" s="6" t="inlineStr">
        <is>
          <t>Beta</t>
        </is>
      </c>
      <c r="B25" s="23" t="n">
        <v>1.05</v>
      </c>
    </row>
    <row r="26">
      <c r="A26" s="6" t="inlineStr">
        <is>
          <t>Country/size adjustment %</t>
        </is>
      </c>
      <c r="B26" s="13" t="n">
        <v>0.004</v>
      </c>
    </row>
    <row r="27">
      <c r="A27" s="10" t="inlineStr">
        <is>
          <t>Cost of equity %</t>
        </is>
      </c>
      <c r="B27" s="24">
        <f>B23+B25*B24+B26</f>
        <v/>
      </c>
    </row>
    <row r="28">
      <c r="A28" s="6" t="inlineStr">
        <is>
          <t>Terminal growth %</t>
        </is>
      </c>
      <c r="B28" s="13" t="n">
        <v>0.03</v>
      </c>
    </row>
    <row r="30">
      <c r="A30" s="4" t="inlineStr">
        <is>
          <t>MARKET DATA (27 Aug 2026)</t>
        </is>
      </c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  <c r="K30" s="5" t="n"/>
    </row>
    <row r="31">
      <c r="A31" s="6" t="inlineStr">
        <is>
          <t>Share price (AED)</t>
        </is>
      </c>
      <c r="B31" s="23" t="n">
        <v>7.31</v>
      </c>
    </row>
    <row r="32">
      <c r="A32" s="6" t="inlineStr">
        <is>
          <t>Shares outstanding (m)</t>
        </is>
      </c>
      <c r="B32" s="18" t="n">
        <v>7240.7</v>
      </c>
    </row>
    <row r="33">
      <c r="A33" s="6" t="inlineStr">
        <is>
          <t>Market capitalization (AED m)</t>
        </is>
      </c>
      <c r="B33" s="17">
        <f>B31*B32</f>
        <v/>
      </c>
    </row>
    <row r="34">
      <c r="A34" s="6" t="inlineStr">
        <is>
          <t>Tangible BVPS, FY2025 (AED)</t>
        </is>
      </c>
      <c r="B34" s="19">
        <f>F15/B32*1000/1000</f>
        <v/>
      </c>
    </row>
    <row r="35">
      <c r="A35" s="6" t="inlineStr">
        <is>
          <t>P/TBV (current)</t>
        </is>
      </c>
      <c r="B35" s="19">
        <f>B31/B34</f>
        <v/>
      </c>
    </row>
    <row r="36">
      <c r="A36" s="6" t="inlineStr">
        <is>
          <t>Trailing P/E (FY2025 EPS 0.98)</t>
        </is>
      </c>
      <c r="B36" s="19">
        <f>B31/0.98</f>
        <v/>
      </c>
    </row>
    <row r="38">
      <c r="A38" s="10" t="inlineStr">
        <is>
          <t>Task 3 methods: justified P/B (Gordon on ROTE), dividend discount, trading comps, historical multiples.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DIB — Dividend Discount &amp; Justified P/TBV</t>
        </is>
      </c>
    </row>
    <row r="2">
      <c r="A2" s="2" t="inlineStr">
        <is>
          <t>AED per share unless stated · Links: Income Statement, DCF Inputs, Balance Sheet</t>
        </is>
      </c>
    </row>
    <row r="4">
      <c r="B4" s="3" t="inlineStr">
        <is>
          <t>2026E</t>
        </is>
      </c>
      <c r="C4" s="3" t="inlineStr">
        <is>
          <t>2027E</t>
        </is>
      </c>
      <c r="D4" s="3" t="inlineStr">
        <is>
          <t>2028E</t>
        </is>
      </c>
      <c r="E4" s="3" t="inlineStr">
        <is>
          <t>2029E</t>
        </is>
      </c>
      <c r="F4" s="3" t="inlineStr">
        <is>
          <t>2030E</t>
        </is>
      </c>
    </row>
    <row r="5">
      <c r="A5" s="4" t="inlineStr">
        <is>
          <t>A. COST OF EQUITY (from DCF Inputs)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</row>
    <row r="6">
      <c r="A6" s="6" t="inlineStr">
        <is>
          <t>Cost of equity %</t>
        </is>
      </c>
      <c r="B6" s="20">
        <f>'DCF Inputs'!B27</f>
        <v/>
      </c>
    </row>
    <row r="7">
      <c r="A7" s="6" t="inlineStr">
        <is>
          <t>Terminal growth %</t>
        </is>
      </c>
      <c r="B7" s="20">
        <f>'DCF Inputs'!B28</f>
        <v/>
      </c>
    </row>
    <row r="9">
      <c r="A9" s="4" t="inlineStr">
        <is>
          <t>B. DIVIDEND DISCOUNT MODEL</t>
        </is>
      </c>
      <c r="B9" s="5" t="n"/>
      <c r="C9" s="5" t="n"/>
      <c r="D9" s="5" t="n"/>
      <c r="E9" s="5" t="n"/>
      <c r="F9" s="5" t="n"/>
      <c r="G9" s="5" t="n"/>
      <c r="H9" s="5" t="n"/>
      <c r="I9" s="5" t="n"/>
      <c r="J9" s="5" t="n"/>
      <c r="K9" s="5" t="n"/>
    </row>
    <row r="10">
      <c r="A10" s="6" t="inlineStr">
        <is>
          <t>EPS (AED)</t>
        </is>
      </c>
      <c r="B10" s="25">
        <f>'Income Statement'!G42</f>
        <v/>
      </c>
      <c r="C10" s="25">
        <f>'Income Statement'!H42</f>
        <v/>
      </c>
      <c r="D10" s="25">
        <f>'Income Statement'!I42</f>
        <v/>
      </c>
      <c r="E10" s="25">
        <f>'Income Statement'!J42</f>
        <v/>
      </c>
      <c r="F10" s="25">
        <f>'Income Statement'!K42</f>
        <v/>
      </c>
    </row>
    <row r="11">
      <c r="A11" s="6" t="inlineStr">
        <is>
          <t>DPS (AED)</t>
        </is>
      </c>
      <c r="B11" s="25">
        <f>'Income Statement'!G43/100</f>
        <v/>
      </c>
      <c r="C11" s="25">
        <f>'Income Statement'!H43/100</f>
        <v/>
      </c>
      <c r="D11" s="25">
        <f>'Income Statement'!I43/100</f>
        <v/>
      </c>
      <c r="E11" s="25">
        <f>'Income Statement'!J43/100</f>
        <v/>
      </c>
      <c r="F11" s="25">
        <f>'Income Statement'!K43/100</f>
        <v/>
      </c>
    </row>
    <row r="12">
      <c r="A12" s="6" t="inlineStr">
        <is>
          <t>Discount factor</t>
        </is>
      </c>
      <c r="B12" s="26">
        <f>1/(1+$B$6)^1</f>
        <v/>
      </c>
      <c r="C12" s="26">
        <f>1/(1+$B$6)^2</f>
        <v/>
      </c>
      <c r="D12" s="26">
        <f>1/(1+$B$6)^3</f>
        <v/>
      </c>
      <c r="E12" s="26">
        <f>1/(1+$B$6)^4</f>
        <v/>
      </c>
      <c r="F12" s="26">
        <f>1/(1+$B$6)^5</f>
        <v/>
      </c>
    </row>
    <row r="13">
      <c r="A13" s="6" t="inlineStr">
        <is>
          <t>PV of dividends</t>
        </is>
      </c>
      <c r="B13" s="26">
        <f>B11*B12</f>
        <v/>
      </c>
      <c r="C13" s="26">
        <f>C11*C12</f>
        <v/>
      </c>
      <c r="D13" s="26">
        <f>D11*D12</f>
        <v/>
      </c>
      <c r="E13" s="26">
        <f>E11*E12</f>
        <v/>
      </c>
      <c r="F13" s="26">
        <f>F11*F12</f>
        <v/>
      </c>
    </row>
    <row r="14">
      <c r="A14" s="10" t="inlineStr">
        <is>
          <t>Sum PV of dividends 2026-2030</t>
        </is>
      </c>
      <c r="B14" s="27">
        <f>SUM(B13:F13)</f>
        <v/>
      </c>
    </row>
    <row r="15">
      <c r="A15" s="6" t="inlineStr">
        <is>
          <t>Terminal payout ratio (normalized)</t>
        </is>
      </c>
      <c r="B15" s="9" t="n">
        <v>0.6</v>
      </c>
    </row>
    <row r="16">
      <c r="A16" s="6" t="inlineStr">
        <is>
          <t>Terminal dividend (2031E = EPS2030 x (1+g) x payout)</t>
        </is>
      </c>
      <c r="B16" s="26">
        <f>F10*(1+$B$7)*B15</f>
        <v/>
      </c>
    </row>
    <row r="17">
      <c r="A17" s="6" t="inlineStr">
        <is>
          <t>Terminal value at 2030 (Gordon)</t>
        </is>
      </c>
      <c r="B17" s="28">
        <f>B16/($B$6-$B$7)</f>
        <v/>
      </c>
    </row>
    <row r="18">
      <c r="A18" s="6" t="inlineStr">
        <is>
          <t>PV of terminal value</t>
        </is>
      </c>
      <c r="B18" s="28">
        <f>B17*F12</f>
        <v/>
      </c>
    </row>
    <row r="19">
      <c r="A19" s="10" t="inlineStr">
        <is>
          <t>DDM VALUE PER SHARE</t>
        </is>
      </c>
      <c r="B19" s="29">
        <f>B14+B18</f>
        <v/>
      </c>
    </row>
    <row r="21">
      <c r="A21" s="4" t="inlineStr">
        <is>
          <t>C. JUSTIFIED P/TBV (GORDON ON ROTE)</t>
        </is>
      </c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  <c r="K21" s="5" t="n"/>
    </row>
    <row r="22">
      <c r="A22" s="6" t="inlineStr">
        <is>
          <t>Sustainable ROTE %</t>
        </is>
      </c>
      <c r="B22" s="9" t="n">
        <v>0.13</v>
      </c>
    </row>
    <row r="23">
      <c r="A23" s="6" t="inlineStr">
        <is>
          <t>Justified P/TBV = (ROTE - g) / (CoE - g)</t>
        </is>
      </c>
      <c r="B23" s="28">
        <f>(B22-$B$7)/($B$6-$B$7)</f>
        <v/>
      </c>
    </row>
    <row r="24">
      <c r="A24" s="6" t="inlineStr">
        <is>
          <t>Tangible BVPS 2026E (AED)</t>
        </is>
      </c>
      <c r="B24" s="25">
        <f>'DCF Inputs'!G15/'DCF Inputs'!B32*1000/1000</f>
        <v/>
      </c>
    </row>
    <row r="25">
      <c r="A25" s="10" t="inlineStr">
        <is>
          <t>JUSTIFIED P/TBV VALUE PER SHARE</t>
        </is>
      </c>
      <c r="B25" s="29">
        <f>B23*B24</f>
        <v/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DIB — Valuation Sensitivity</t>
        </is>
      </c>
    </row>
    <row r="2">
      <c r="A2" s="2" t="inlineStr">
        <is>
          <t>AED per share · Grid 1: justified P/TBV method · Grid 2: DDM method</t>
        </is>
      </c>
    </row>
    <row r="4">
      <c r="A4" s="4" t="inlineStr">
        <is>
          <t>GRID 1: JUSTIFIED P/TBV VALUE — Sustainable ROTE (cols) x Cost of equity (rows)</t>
        </is>
      </c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</row>
    <row r="5">
      <c r="B5" s="30" t="n">
        <v>0.11</v>
      </c>
      <c r="C5" s="30" t="n">
        <v>0.12</v>
      </c>
      <c r="D5" s="30" t="n">
        <v>0.13</v>
      </c>
      <c r="E5" s="30" t="n">
        <v>0.14</v>
      </c>
      <c r="F5" s="30" t="n">
        <v>0.15</v>
      </c>
    </row>
    <row r="6">
      <c r="A6" s="13" t="n">
        <v>0.097</v>
      </c>
      <c r="B6" s="28">
        <f>(B$5-'DCF-DDM'!$B$7)/($A6-'DCF-DDM'!$B$7)*'DCF-DDM'!$B$24</f>
        <v/>
      </c>
      <c r="C6" s="28">
        <f>(C$5-'DCF-DDM'!$B$7)/($A6-'DCF-DDM'!$B$7)*'DCF-DDM'!$B$24</f>
        <v/>
      </c>
      <c r="D6" s="28">
        <f>(D$5-'DCF-DDM'!$B$7)/($A6-'DCF-DDM'!$B$7)*'DCF-DDM'!$B$24</f>
        <v/>
      </c>
      <c r="E6" s="28">
        <f>(E$5-'DCF-DDM'!$B$7)/($A6-'DCF-DDM'!$B$7)*'DCF-DDM'!$B$24</f>
        <v/>
      </c>
      <c r="F6" s="28">
        <f>(F$5-'DCF-DDM'!$B$7)/($A6-'DCF-DDM'!$B$7)*'DCF-DDM'!$B$24</f>
        <v/>
      </c>
    </row>
    <row r="7">
      <c r="A7" s="13" t="n">
        <v>0.102</v>
      </c>
      <c r="B7" s="28">
        <f>(B$5-'DCF-DDM'!$B$7)/($A7-'DCF-DDM'!$B$7)*'DCF-DDM'!$B$24</f>
        <v/>
      </c>
      <c r="C7" s="28">
        <f>(C$5-'DCF-DDM'!$B$7)/($A7-'DCF-DDM'!$B$7)*'DCF-DDM'!$B$24</f>
        <v/>
      </c>
      <c r="D7" s="28">
        <f>(D$5-'DCF-DDM'!$B$7)/($A7-'DCF-DDM'!$B$7)*'DCF-DDM'!$B$24</f>
        <v/>
      </c>
      <c r="E7" s="28">
        <f>(E$5-'DCF-DDM'!$B$7)/($A7-'DCF-DDM'!$B$7)*'DCF-DDM'!$B$24</f>
        <v/>
      </c>
      <c r="F7" s="28">
        <f>(F$5-'DCF-DDM'!$B$7)/($A7-'DCF-DDM'!$B$7)*'DCF-DDM'!$B$24</f>
        <v/>
      </c>
    </row>
    <row r="8">
      <c r="A8" s="13" t="n">
        <v>0.107</v>
      </c>
      <c r="B8" s="28">
        <f>(B$5-'DCF-DDM'!$B$7)/($A8-'DCF-DDM'!$B$7)*'DCF-DDM'!$B$24</f>
        <v/>
      </c>
      <c r="C8" s="28">
        <f>(C$5-'DCF-DDM'!$B$7)/($A8-'DCF-DDM'!$B$7)*'DCF-DDM'!$B$24</f>
        <v/>
      </c>
      <c r="D8" s="31">
        <f>(D$5-'DCF-DDM'!$B$7)/($A8-'DCF-DDM'!$B$7)*'DCF-DDM'!$B$24</f>
        <v/>
      </c>
      <c r="E8" s="28">
        <f>(E$5-'DCF-DDM'!$B$7)/($A8-'DCF-DDM'!$B$7)*'DCF-DDM'!$B$24</f>
        <v/>
      </c>
      <c r="F8" s="28">
        <f>(F$5-'DCF-DDM'!$B$7)/($A8-'DCF-DDM'!$B$7)*'DCF-DDM'!$B$24</f>
        <v/>
      </c>
    </row>
    <row r="9">
      <c r="A9" s="13" t="n">
        <v>0.112</v>
      </c>
      <c r="B9" s="28">
        <f>(B$5-'DCF-DDM'!$B$7)/($A9-'DCF-DDM'!$B$7)*'DCF-DDM'!$B$24</f>
        <v/>
      </c>
      <c r="C9" s="28">
        <f>(C$5-'DCF-DDM'!$B$7)/($A9-'DCF-DDM'!$B$7)*'DCF-DDM'!$B$24</f>
        <v/>
      </c>
      <c r="D9" s="28">
        <f>(D$5-'DCF-DDM'!$B$7)/($A9-'DCF-DDM'!$B$7)*'DCF-DDM'!$B$24</f>
        <v/>
      </c>
      <c r="E9" s="28">
        <f>(E$5-'DCF-DDM'!$B$7)/($A9-'DCF-DDM'!$B$7)*'DCF-DDM'!$B$24</f>
        <v/>
      </c>
      <c r="F9" s="28">
        <f>(F$5-'DCF-DDM'!$B$7)/($A9-'DCF-DDM'!$B$7)*'DCF-DDM'!$B$24</f>
        <v/>
      </c>
    </row>
    <row r="10">
      <c r="A10" s="13" t="n">
        <v>0.117</v>
      </c>
      <c r="B10" s="28">
        <f>(B$5-'DCF-DDM'!$B$7)/($A10-'DCF-DDM'!$B$7)*'DCF-DDM'!$B$24</f>
        <v/>
      </c>
      <c r="C10" s="28">
        <f>(C$5-'DCF-DDM'!$B$7)/($A10-'DCF-DDM'!$B$7)*'DCF-DDM'!$B$24</f>
        <v/>
      </c>
      <c r="D10" s="28">
        <f>(D$5-'DCF-DDM'!$B$7)/($A10-'DCF-DDM'!$B$7)*'DCF-DDM'!$B$24</f>
        <v/>
      </c>
      <c r="E10" s="28">
        <f>(E$5-'DCF-DDM'!$B$7)/($A10-'DCF-DDM'!$B$7)*'DCF-DDM'!$B$24</f>
        <v/>
      </c>
      <c r="F10" s="28">
        <f>(F$5-'DCF-DDM'!$B$7)/($A10-'DCF-DDM'!$B$7)*'DCF-DDM'!$B$24</f>
        <v/>
      </c>
    </row>
    <row r="12">
      <c r="A12" s="4" t="inlineStr">
        <is>
          <t>GRID 2: DDM VALUE — Terminal growth (cols) x Cost of equity (rows)</t>
        </is>
      </c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  <c r="K12" s="5" t="n"/>
    </row>
    <row r="13">
      <c r="B13" s="32" t="n">
        <v>0.02</v>
      </c>
      <c r="C13" s="32" t="n">
        <v>0.025</v>
      </c>
      <c r="D13" s="32" t="n">
        <v>0.03</v>
      </c>
      <c r="E13" s="32" t="n">
        <v>0.035</v>
      </c>
      <c r="F13" s="32" t="n">
        <v>0.04</v>
      </c>
    </row>
    <row r="14">
      <c r="A14" s="13" t="n">
        <v>0.097</v>
      </c>
      <c r="B14" s="28">
        <f>'DCF-DDM'!B11/(1+$A14)^1+'DCF-DDM'!C11/(1+$A14)^2+'DCF-DDM'!D11/(1+$A14)^3+'DCF-DDM'!E11/(1+$A14)^4+'DCF-DDM'!F11/(1+$A14)^5+('DCF-DDM'!F10*(1+B$13)*'DCF-DDM'!$B$15/($A14-B$13))/(1+$A14)^5</f>
        <v/>
      </c>
      <c r="C14" s="28">
        <f>'DCF-DDM'!B11/(1+$A14)^1+'DCF-DDM'!C11/(1+$A14)^2+'DCF-DDM'!D11/(1+$A14)^3+'DCF-DDM'!E11/(1+$A14)^4+'DCF-DDM'!F11/(1+$A14)^5+('DCF-DDM'!F10*(1+C$13)*'DCF-DDM'!$B$15/($A14-C$13))/(1+$A14)^5</f>
        <v/>
      </c>
      <c r="D14" s="28">
        <f>'DCF-DDM'!B11/(1+$A14)^1+'DCF-DDM'!C11/(1+$A14)^2+'DCF-DDM'!D11/(1+$A14)^3+'DCF-DDM'!E11/(1+$A14)^4+'DCF-DDM'!F11/(1+$A14)^5+('DCF-DDM'!F10*(1+D$13)*'DCF-DDM'!$B$15/($A14-D$13))/(1+$A14)^5</f>
        <v/>
      </c>
      <c r="E14" s="28">
        <f>'DCF-DDM'!B11/(1+$A14)^1+'DCF-DDM'!C11/(1+$A14)^2+'DCF-DDM'!D11/(1+$A14)^3+'DCF-DDM'!E11/(1+$A14)^4+'DCF-DDM'!F11/(1+$A14)^5+('DCF-DDM'!F10*(1+E$13)*'DCF-DDM'!$B$15/($A14-E$13))/(1+$A14)^5</f>
        <v/>
      </c>
      <c r="F14" s="28">
        <f>'DCF-DDM'!B11/(1+$A14)^1+'DCF-DDM'!C11/(1+$A14)^2+'DCF-DDM'!D11/(1+$A14)^3+'DCF-DDM'!E11/(1+$A14)^4+'DCF-DDM'!F11/(1+$A14)^5+('DCF-DDM'!F10*(1+F$13)*'DCF-DDM'!$B$15/($A14-F$13))/(1+$A14)^5</f>
        <v/>
      </c>
    </row>
    <row r="15">
      <c r="A15" s="13" t="n">
        <v>0.102</v>
      </c>
      <c r="B15" s="28">
        <f>'DCF-DDM'!B11/(1+$A15)^1+'DCF-DDM'!C11/(1+$A15)^2+'DCF-DDM'!D11/(1+$A15)^3+'DCF-DDM'!E11/(1+$A15)^4+'DCF-DDM'!F11/(1+$A15)^5+('DCF-DDM'!F10*(1+B$13)*'DCF-DDM'!$B$15/($A15-B$13))/(1+$A15)^5</f>
        <v/>
      </c>
      <c r="C15" s="28">
        <f>'DCF-DDM'!B11/(1+$A15)^1+'DCF-DDM'!C11/(1+$A15)^2+'DCF-DDM'!D11/(1+$A15)^3+'DCF-DDM'!E11/(1+$A15)^4+'DCF-DDM'!F11/(1+$A15)^5+('DCF-DDM'!F10*(1+C$13)*'DCF-DDM'!$B$15/($A15-C$13))/(1+$A15)^5</f>
        <v/>
      </c>
      <c r="D15" s="28">
        <f>'DCF-DDM'!B11/(1+$A15)^1+'DCF-DDM'!C11/(1+$A15)^2+'DCF-DDM'!D11/(1+$A15)^3+'DCF-DDM'!E11/(1+$A15)^4+'DCF-DDM'!F11/(1+$A15)^5+('DCF-DDM'!F10*(1+D$13)*'DCF-DDM'!$B$15/($A15-D$13))/(1+$A15)^5</f>
        <v/>
      </c>
      <c r="E15" s="28">
        <f>'DCF-DDM'!B11/(1+$A15)^1+'DCF-DDM'!C11/(1+$A15)^2+'DCF-DDM'!D11/(1+$A15)^3+'DCF-DDM'!E11/(1+$A15)^4+'DCF-DDM'!F11/(1+$A15)^5+('DCF-DDM'!F10*(1+E$13)*'DCF-DDM'!$B$15/($A15-E$13))/(1+$A15)^5</f>
        <v/>
      </c>
      <c r="F15" s="28">
        <f>'DCF-DDM'!B11/(1+$A15)^1+'DCF-DDM'!C11/(1+$A15)^2+'DCF-DDM'!D11/(1+$A15)^3+'DCF-DDM'!E11/(1+$A15)^4+'DCF-DDM'!F11/(1+$A15)^5+('DCF-DDM'!F10*(1+F$13)*'DCF-DDM'!$B$15/($A15-F$13))/(1+$A15)^5</f>
        <v/>
      </c>
    </row>
    <row r="16">
      <c r="A16" s="13" t="n">
        <v>0.107</v>
      </c>
      <c r="B16" s="28">
        <f>'DCF-DDM'!B11/(1+$A16)^1+'DCF-DDM'!C11/(1+$A16)^2+'DCF-DDM'!D11/(1+$A16)^3+'DCF-DDM'!E11/(1+$A16)^4+'DCF-DDM'!F11/(1+$A16)^5+('DCF-DDM'!F10*(1+B$13)*'DCF-DDM'!$B$15/($A16-B$13))/(1+$A16)^5</f>
        <v/>
      </c>
      <c r="C16" s="28">
        <f>'DCF-DDM'!B11/(1+$A16)^1+'DCF-DDM'!C11/(1+$A16)^2+'DCF-DDM'!D11/(1+$A16)^3+'DCF-DDM'!E11/(1+$A16)^4+'DCF-DDM'!F11/(1+$A16)^5+('DCF-DDM'!F10*(1+C$13)*'DCF-DDM'!$B$15/($A16-C$13))/(1+$A16)^5</f>
        <v/>
      </c>
      <c r="D16" s="31">
        <f>'DCF-DDM'!B11/(1+$A16)^1+'DCF-DDM'!C11/(1+$A16)^2+'DCF-DDM'!D11/(1+$A16)^3+'DCF-DDM'!E11/(1+$A16)^4+'DCF-DDM'!F11/(1+$A16)^5+('DCF-DDM'!F10*(1+D$13)*'DCF-DDM'!$B$15/($A16-D$13))/(1+$A16)^5</f>
        <v/>
      </c>
      <c r="E16" s="28">
        <f>'DCF-DDM'!B11/(1+$A16)^1+'DCF-DDM'!C11/(1+$A16)^2+'DCF-DDM'!D11/(1+$A16)^3+'DCF-DDM'!E11/(1+$A16)^4+'DCF-DDM'!F11/(1+$A16)^5+('DCF-DDM'!F10*(1+E$13)*'DCF-DDM'!$B$15/($A16-E$13))/(1+$A16)^5</f>
        <v/>
      </c>
      <c r="F16" s="28">
        <f>'DCF-DDM'!B11/(1+$A16)^1+'DCF-DDM'!C11/(1+$A16)^2+'DCF-DDM'!D11/(1+$A16)^3+'DCF-DDM'!E11/(1+$A16)^4+'DCF-DDM'!F11/(1+$A16)^5+('DCF-DDM'!F10*(1+F$13)*'DCF-DDM'!$B$15/($A16-F$13))/(1+$A16)^5</f>
        <v/>
      </c>
    </row>
    <row r="17">
      <c r="A17" s="13" t="n">
        <v>0.112</v>
      </c>
      <c r="B17" s="28">
        <f>'DCF-DDM'!B11/(1+$A17)^1+'DCF-DDM'!C11/(1+$A17)^2+'DCF-DDM'!D11/(1+$A17)^3+'DCF-DDM'!E11/(1+$A17)^4+'DCF-DDM'!F11/(1+$A17)^5+('DCF-DDM'!F10*(1+B$13)*'DCF-DDM'!$B$15/($A17-B$13))/(1+$A17)^5</f>
        <v/>
      </c>
      <c r="C17" s="28">
        <f>'DCF-DDM'!B11/(1+$A17)^1+'DCF-DDM'!C11/(1+$A17)^2+'DCF-DDM'!D11/(1+$A17)^3+'DCF-DDM'!E11/(1+$A17)^4+'DCF-DDM'!F11/(1+$A17)^5+('DCF-DDM'!F10*(1+C$13)*'DCF-DDM'!$B$15/($A17-C$13))/(1+$A17)^5</f>
        <v/>
      </c>
      <c r="D17" s="28">
        <f>'DCF-DDM'!B11/(1+$A17)^1+'DCF-DDM'!C11/(1+$A17)^2+'DCF-DDM'!D11/(1+$A17)^3+'DCF-DDM'!E11/(1+$A17)^4+'DCF-DDM'!F11/(1+$A17)^5+('DCF-DDM'!F10*(1+D$13)*'DCF-DDM'!$B$15/($A17-D$13))/(1+$A17)^5</f>
        <v/>
      </c>
      <c r="E17" s="28">
        <f>'DCF-DDM'!B11/(1+$A17)^1+'DCF-DDM'!C11/(1+$A17)^2+'DCF-DDM'!D11/(1+$A17)^3+'DCF-DDM'!E11/(1+$A17)^4+'DCF-DDM'!F11/(1+$A17)^5+('DCF-DDM'!F10*(1+E$13)*'DCF-DDM'!$B$15/($A17-E$13))/(1+$A17)^5</f>
        <v/>
      </c>
      <c r="F17" s="28">
        <f>'DCF-DDM'!B11/(1+$A17)^1+'DCF-DDM'!C11/(1+$A17)^2+'DCF-DDM'!D11/(1+$A17)^3+'DCF-DDM'!E11/(1+$A17)^4+'DCF-DDM'!F11/(1+$A17)^5+('DCF-DDM'!F10*(1+F$13)*'DCF-DDM'!$B$15/($A17-F$13))/(1+$A17)^5</f>
        <v/>
      </c>
    </row>
    <row r="18">
      <c r="A18" s="13" t="n">
        <v>0.117</v>
      </c>
      <c r="B18" s="28">
        <f>'DCF-DDM'!B11/(1+$A18)^1+'DCF-DDM'!C11/(1+$A18)^2+'DCF-DDM'!D11/(1+$A18)^3+'DCF-DDM'!E11/(1+$A18)^4+'DCF-DDM'!F11/(1+$A18)^5+('DCF-DDM'!F10*(1+B$13)*'DCF-DDM'!$B$15/($A18-B$13))/(1+$A18)^5</f>
        <v/>
      </c>
      <c r="C18" s="28">
        <f>'DCF-DDM'!B11/(1+$A18)^1+'DCF-DDM'!C11/(1+$A18)^2+'DCF-DDM'!D11/(1+$A18)^3+'DCF-DDM'!E11/(1+$A18)^4+'DCF-DDM'!F11/(1+$A18)^5+('DCF-DDM'!F10*(1+C$13)*'DCF-DDM'!$B$15/($A18-C$13))/(1+$A18)^5</f>
        <v/>
      </c>
      <c r="D18" s="28">
        <f>'DCF-DDM'!B11/(1+$A18)^1+'DCF-DDM'!C11/(1+$A18)^2+'DCF-DDM'!D11/(1+$A18)^3+'DCF-DDM'!E11/(1+$A18)^4+'DCF-DDM'!F11/(1+$A18)^5+('DCF-DDM'!F10*(1+D$13)*'DCF-DDM'!$B$15/($A18-D$13))/(1+$A18)^5</f>
        <v/>
      </c>
      <c r="E18" s="28">
        <f>'DCF-DDM'!B11/(1+$A18)^1+'DCF-DDM'!C11/(1+$A18)^2+'DCF-DDM'!D11/(1+$A18)^3+'DCF-DDM'!E11/(1+$A18)^4+'DCF-DDM'!F11/(1+$A18)^5+('DCF-DDM'!F10*(1+E$13)*'DCF-DDM'!$B$15/($A18-E$13))/(1+$A18)^5</f>
        <v/>
      </c>
      <c r="F18" s="28">
        <f>'DCF-DDM'!B11/(1+$A18)^1+'DCF-DDM'!C11/(1+$A18)^2+'DCF-DDM'!D11/(1+$A18)^3+'DCF-DDM'!E11/(1+$A18)^4+'DCF-DDM'!F11/(1+$A18)^5+('DCF-DDM'!F10*(1+F$13)*'DCF-DDM'!$B$15/($A18-F$13))/(1+$A18)^5</f>
        <v/>
      </c>
    </row>
    <row r="20">
      <c r="A20" s="6" t="inlineStr">
        <is>
          <t>Base case highlighted: CoE 10.7%, ROTE 13.0%, g 3.0%.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3" customWidth="1" min="3" max="3"/>
    <col width="13" customWidth="1" min="4" max="4"/>
    <col width="9" customWidth="1" min="5" max="5"/>
    <col width="9" customWidth="1" min="6" max="6"/>
    <col width="9" customWidth="1" min="7" max="7"/>
    <col width="34" customWidth="1" min="8" max="8"/>
  </cols>
  <sheetData>
    <row r="1">
      <c r="A1" s="1" t="inlineStr">
        <is>
          <t>DIB — Comparable Companies</t>
        </is>
      </c>
    </row>
    <row r="2">
      <c r="A2" s="2" t="inlineStr">
        <is>
          <t>Market data as of 27 Aug 2026 (stockanalysis.com; company releases). AED bn for assets; local reporting for profit.</t>
        </is>
      </c>
    </row>
    <row r="4">
      <c r="A4" s="33" t="inlineStr">
        <is>
          <t>Company</t>
        </is>
      </c>
      <c r="B4" s="33" t="inlineStr">
        <is>
          <t>Country</t>
        </is>
      </c>
      <c r="C4" s="33" t="inlineStr">
        <is>
          <t>Assets (bn)</t>
        </is>
      </c>
      <c r="D4" s="33" t="inlineStr">
        <is>
          <t>FY25 net profit</t>
        </is>
      </c>
      <c r="E4" s="33" t="inlineStr">
        <is>
          <t>ROE %</t>
        </is>
      </c>
      <c r="F4" s="33" t="inlineStr">
        <is>
          <t>P/E</t>
        </is>
      </c>
      <c r="G4" s="33" t="inlineStr">
        <is>
          <t>P/B</t>
        </is>
      </c>
      <c r="H4" s="33" t="inlineStr">
        <is>
          <t>Note</t>
        </is>
      </c>
    </row>
    <row r="5">
      <c r="A5" s="6" t="inlineStr">
        <is>
          <t>Abu Dhabi Islamic Bank</t>
        </is>
      </c>
      <c r="B5" s="6" t="inlineStr">
        <is>
          <t>UAE</t>
        </is>
      </c>
      <c r="C5" s="34" t="n">
        <v>281</v>
      </c>
      <c r="D5" s="6" t="inlineStr">
        <is>
          <t>AED 7.1bn</t>
        </is>
      </c>
      <c r="E5" s="35" t="n">
        <v>0.28</v>
      </c>
      <c r="F5" s="28" t="n">
        <v>13.07</v>
      </c>
      <c r="G5" s="28" t="n">
        <v>2.66</v>
      </c>
      <c r="H5" s="2" t="inlineStr">
        <is>
          <t>Closest peer; industry-leading ROE</t>
        </is>
      </c>
    </row>
    <row r="6">
      <c r="A6" s="6" t="inlineStr">
        <is>
          <t>Emirates Islamic</t>
        </is>
      </c>
      <c r="B6" s="6" t="inlineStr">
        <is>
          <t>UAE</t>
        </is>
      </c>
      <c r="C6" s="34" t="n">
        <v>146</v>
      </c>
      <c r="D6" s="6" t="inlineStr">
        <is>
          <t>AED 3.3bn</t>
        </is>
      </c>
      <c r="F6" s="28" t="n">
        <v>17.8</v>
      </c>
      <c r="H6" s="2" t="inlineStr">
        <is>
          <t>~0.1% free float; multiples unreliable</t>
        </is>
      </c>
    </row>
    <row r="7">
      <c r="A7" s="6" t="inlineStr">
        <is>
          <t>Sharjah Islamic Bank</t>
        </is>
      </c>
      <c r="B7" s="6" t="inlineStr">
        <is>
          <t>UAE</t>
        </is>
      </c>
      <c r="C7" s="34" t="n">
        <v>90</v>
      </c>
      <c r="D7" s="6" t="inlineStr">
        <is>
          <t>AED 1.31bn</t>
        </is>
      </c>
      <c r="E7" s="35" t="n">
        <v>0.163</v>
      </c>
      <c r="F7" s="28" t="n">
        <v>7.24</v>
      </c>
      <c r="H7" s="2" t="inlineStr">
        <is>
          <t>Q1-26 ROE</t>
        </is>
      </c>
    </row>
    <row r="8">
      <c r="A8" s="6" t="inlineStr">
        <is>
          <t>Ajman Bank</t>
        </is>
      </c>
      <c r="B8" s="6" t="inlineStr">
        <is>
          <t>UAE</t>
        </is>
      </c>
      <c r="C8" s="34" t="n">
        <v>33</v>
      </c>
      <c r="D8" s="6" t="inlineStr">
        <is>
          <t>AED 0.50bn</t>
        </is>
      </c>
      <c r="E8" s="35" t="n">
        <v>0.156</v>
      </c>
      <c r="F8" s="28" t="n">
        <v>7.7</v>
      </c>
      <c r="H8" s="2" t="inlineStr">
        <is>
          <t>9M-25 ROE; turnaround</t>
        </is>
      </c>
    </row>
    <row r="9">
      <c r="A9" s="6" t="inlineStr">
        <is>
          <t>Al Rajhi Bank</t>
        </is>
      </c>
      <c r="B9" s="6" t="inlineStr">
        <is>
          <t>KSA</t>
        </is>
      </c>
      <c r="C9" s="34" t="n">
        <v>1043</v>
      </c>
      <c r="D9" s="6" t="inlineStr">
        <is>
          <t>SAR 24.8bn</t>
        </is>
      </c>
      <c r="E9" s="35" t="n">
        <v>0.234</v>
      </c>
      <c r="F9" s="28" t="n">
        <v>16.4</v>
      </c>
      <c r="G9" s="28" t="n">
        <v>3.7</v>
      </c>
      <c r="H9" s="2" t="inlineStr">
        <is>
          <t>World's largest Islamic bank; P/B computed</t>
        </is>
      </c>
    </row>
    <row r="10">
      <c r="A10" s="6" t="inlineStr">
        <is>
          <t>Kuwait Finance House</t>
        </is>
      </c>
      <c r="B10" s="6" t="inlineStr">
        <is>
          <t>KWT</t>
        </is>
      </c>
      <c r="C10" s="34" t="n">
        <v>511</v>
      </c>
      <c r="D10" s="6" t="inlineStr">
        <is>
          <t>KD 632m</t>
        </is>
      </c>
      <c r="E10" s="35" t="n">
        <v>0.111</v>
      </c>
      <c r="F10" s="28" t="n">
        <v>21.7</v>
      </c>
      <c r="H10" s="2" t="inlineStr">
        <is>
          <t>P/E &amp; ROE computed</t>
        </is>
      </c>
    </row>
    <row r="11">
      <c r="A11" s="6" t="inlineStr">
        <is>
          <t>Emirates NBD</t>
        </is>
      </c>
      <c r="B11" s="6" t="inlineStr">
        <is>
          <t>UAE</t>
        </is>
      </c>
      <c r="C11" s="34" t="n">
        <v>1000</v>
      </c>
      <c r="D11" s="6" t="inlineStr">
        <is>
          <t>AED 24.0bn</t>
        </is>
      </c>
      <c r="E11" s="35" t="n">
        <v>0.188</v>
      </c>
      <c r="F11" s="28" t="n">
        <v>8.23</v>
      </c>
      <c r="G11" s="28" t="n">
        <v>1.23</v>
      </c>
      <c r="H11" s="2" t="inlineStr">
        <is>
          <t>Conventional; RBL India deal 2026</t>
        </is>
      </c>
    </row>
    <row r="12">
      <c r="A12" s="6" t="inlineStr">
        <is>
          <t>First Abu Dhabi Bank</t>
        </is>
      </c>
      <c r="B12" s="6" t="inlineStr">
        <is>
          <t>UAE</t>
        </is>
      </c>
      <c r="C12" s="34" t="n">
        <v>1400</v>
      </c>
      <c r="D12" s="6" t="inlineStr">
        <is>
          <t>AED 21.1bn</t>
        </is>
      </c>
      <c r="E12" s="35" t="n">
        <v>0.192</v>
      </c>
      <c r="F12" s="28" t="n">
        <v>10.61</v>
      </c>
      <c r="G12" s="28" t="n">
        <v>1.51</v>
      </c>
      <c r="H12" s="2" t="inlineStr">
        <is>
          <t>ROTE FY25</t>
        </is>
      </c>
    </row>
    <row r="13">
      <c r="A13" s="10" t="inlineStr">
        <is>
          <t>Median (UAE listed, ex-Emirates Islamic)</t>
        </is>
      </c>
      <c r="F13" s="27">
        <f>MEDIAN(F5,F7,F8,F11,F12)</f>
        <v/>
      </c>
      <c r="G13" s="27">
        <f>MEDIAN(G5,G11,G12)</f>
        <v/>
      </c>
    </row>
    <row r="14">
      <c r="A14" s="10" t="inlineStr">
        <is>
          <t>DIB (current)</t>
        </is>
      </c>
      <c r="C14" s="34" t="n">
        <v>416</v>
      </c>
      <c r="D14" s="6" t="inlineStr">
        <is>
          <t>AED 7.81bn</t>
        </is>
      </c>
      <c r="E14" s="35" t="n">
        <v>0.172</v>
      </c>
      <c r="F14" s="28" t="n">
        <v>7.42</v>
      </c>
      <c r="G14" s="28" t="n">
        <v>1.24</v>
      </c>
      <c r="H14" s="2" t="inlineStr">
        <is>
          <t>FY25 post-tax ROTE ~17.2%; P/B on tangible</t>
        </is>
      </c>
    </row>
    <row r="16">
      <c r="A16" s="4" t="inlineStr">
        <is>
          <t>IMPLIED VALUE</t>
        </is>
      </c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</row>
    <row r="17">
      <c r="A17" s="6" t="inlineStr">
        <is>
          <t>Target P/E (x) applied to 2026E EPS</t>
        </is>
      </c>
      <c r="B17" s="23" t="n">
        <v>8.5</v>
      </c>
      <c r="C17" s="27">
        <f>B17*'Income Statement'!G42</f>
        <v/>
      </c>
    </row>
    <row r="18">
      <c r="A18" s="6" t="inlineStr">
        <is>
          <t>Target P/TBV (x) applied to 2026E TBVPS</t>
        </is>
      </c>
      <c r="B18" s="23" t="n">
        <v>1.35</v>
      </c>
      <c r="C18" s="27">
        <f>B18*'DCF-DDM'!B24</f>
        <v/>
      </c>
    </row>
    <row r="19">
      <c r="A19" s="10" t="inlineStr">
        <is>
          <t>COMPS VALUE PER SHARE (average)</t>
        </is>
      </c>
      <c r="C19" s="27">
        <f>AVERAGE(C17,C18)</f>
        <v/>
      </c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2026-08-28T02:40:51Z</dcterms:created>
  <dcterms:modified xmlns:dcterms="http://purl.org/dc/terms/" xmlns:xsi="http://www.w3.org/2001/XMLSchema-instance" xsi:type="dcterms:W3CDTF">2026-08-28T04:55:13Z</dcterms:modified>
</cp:coreProperties>
</file>