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Revenue Model" sheetId="1" state="visible" r:id="rId3"/>
    <sheet name="Income Statement" sheetId="2" state="visible" r:id="rId4"/>
    <sheet name="Cash Flow Statement" sheetId="3" state="visible" r:id="rId5"/>
    <sheet name="Balance Sheet" sheetId="4" state="visible" r:id="rId6"/>
    <sheet name="Scenarios" sheetId="5" state="visible" r:id="rId7"/>
    <sheet name="DCF Inputs" sheetId="6" state="visible" r:id="rId8"/>
    <sheet name="DCF" sheetId="7" state="visible" r:id="rId9"/>
    <sheet name="Sensitivity" sheetId="8" state="visible" r:id="rId10"/>
    <sheet name="Comps" sheetId="9" state="visible" r:id="rId11"/>
    <sheet name="Precedents" sheetId="10" state="visible" r:id="rId12"/>
    <sheet name="Valuation Summary" sheetId="11" state="visible" r:id="rId13"/>
  </sheets>
  <definedNames>
    <definedName function="false" hidden="false" localSheetId="3" name="_xlnm.Print_Titles" vbProcedure="false">'Balance Sheet'!$1:$4</definedName>
    <definedName function="false" hidden="false" localSheetId="2" name="_xlnm.Print_Titles" vbProcedure="false">'Cash Flow Statement'!$1:$4</definedName>
    <definedName function="false" hidden="false" localSheetId="5" name="_xlnm.Print_Titles" vbProcedure="false">'DCF Inputs'!$1:$4</definedName>
    <definedName function="false" hidden="false" localSheetId="1" name="_xlnm.Print_Titles" vbProcedure="false">'Income Statement'!$1:$4</definedName>
    <definedName function="false" hidden="false" localSheetId="0" name="_xlnm.Print_Titles" vbProcedure="false">'Revenue Model'!$1:$4</definedName>
    <definedName function="false" hidden="false" localSheetId="4" name="_xlnm.Print_Titles" vbProcedure="false">Scenarios!$1:$4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<sst xmlns="http://schemas.openxmlformats.org/spreadsheetml/2006/main" count="1343" uniqueCount="1042">
  <si>
    <t xml:space="preserve">Aluminium Bahrain B.S.C. (Alba)  |  BHB: ALBH  |  Revenue and unit-cost model</t>
  </si>
  <si>
    <t xml:space="preserve">US$ millions unless stated. Historicals FY2023A-FY2025A from audited consolidated financial statements; H1 2026A from reviewed interim statements. Blue = input, black = formula, green = link to another tab. Peg: BHD 1 = US$2.65957 (fixed).</t>
  </si>
  <si>
    <t xml:space="preserve">FY2023A</t>
  </si>
  <si>
    <t xml:space="preserve">FY2024A</t>
  </si>
  <si>
    <t xml:space="preserve">FY2025A</t>
  </si>
  <si>
    <t xml:space="preserve">FY2026E</t>
  </si>
  <si>
    <t xml:space="preserve">FY2027E</t>
  </si>
  <si>
    <t xml:space="preserve">FY2028E</t>
  </si>
  <si>
    <t xml:space="preserve">FY2029E</t>
  </si>
  <si>
    <t xml:space="preserve">FY2030E</t>
  </si>
  <si>
    <t xml:space="preserve">Source / binding</t>
  </si>
  <si>
    <t xml:space="preserve">A.  PRODUCTION, SALES AND CAPACITY UTILISATION</t>
  </si>
  <si>
    <t xml:space="preserve">Alba quarterly and full-year results releases</t>
  </si>
  <si>
    <t xml:space="preserve">Nameplate capacity reference (kt p.a.)</t>
  </si>
  <si>
    <t xml:space="preserve">Alba corporate profile: "+1.623 million MT p.a." (2025 achieved output basis)</t>
  </si>
  <si>
    <t xml:space="preserve">Capacity utilisation (%)</t>
  </si>
  <si>
    <t xml:space="preserve">Reduction lines in operation, equivalent (of 6)</t>
  </si>
  <si>
    <t xml:space="preserve">Lines 1, 2 and 3, approximately 19% of capacity, were placed on a controlled shutdown from March 2026 (Alba announcement); shown here on a production-equivalent basis</t>
  </si>
  <si>
    <t xml:space="preserve">Net finished production (kt)</t>
  </si>
  <si>
    <t xml:space="preserve">FY2023-25 Alba results releases; FY2026E = Q1 339.7 + Q2 155.5 actual + H2 estimate; FY2027E+ analyst estimate</t>
  </si>
  <si>
    <t xml:space="preserve">YoY growth (%)</t>
  </si>
  <si>
    <t xml:space="preserve">Sales volume (kt)</t>
  </si>
  <si>
    <t xml:space="preserve">FY2023-25 Alba results releases; H1 2026A 593.4 kt actual (Q1 312.6 + Q2 280.8); H2 2026E estimate</t>
  </si>
  <si>
    <t xml:space="preserve">Value-added products (VAP) share of shipments (%)</t>
  </si>
  <si>
    <t xml:space="preserve">Alba results releases: 68% (2023), 72% (2024), 74% (2025), 71% Q1 / 70% Q2 2026</t>
  </si>
  <si>
    <t xml:space="preserve">VAP volume (kt)</t>
  </si>
  <si>
    <t xml:space="preserve">Inventory movement (production less sales, kt)</t>
  </si>
  <si>
    <t xml:space="preserve">B.  PRICE REALISATION (US$ per tonne)</t>
  </si>
  <si>
    <t xml:space="preserve">LME and premium disclosed by Alba each quarter; forward path is the analyst base case</t>
  </si>
  <si>
    <t xml:space="preserve">LME cash aluminium price, average</t>
  </si>
  <si>
    <t xml:space="preserve">FY2023-25 Alba IR presentations; FY2026E blends H1 2026A actual US$3,386/t with an H2 estimate; FY2030E US$2,750/t is the top of the CRU mid-cycle band Alba disclosed (US$2,650-2,750/t)</t>
  </si>
  <si>
    <t xml:space="preserve">YoY change (%)</t>
  </si>
  <si>
    <t xml:space="preserve">Realised premium above LME</t>
  </si>
  <si>
    <t xml:space="preserve">Alba disclosed realised premium: US$268/t (2024), US$332/t (2025), US$405/t Q1 2026, US$440/t H1 2026</t>
  </si>
  <si>
    <t xml:space="preserve">Product mix and realisation adjustment</t>
  </si>
  <si>
    <t xml:space="preserve">Calibrated so that modelled metal revenue reconciles to reported revenue from contracts with customers</t>
  </si>
  <si>
    <t xml:space="preserve">Realised price per tonne sold</t>
  </si>
  <si>
    <t xml:space="preserve">Alumina Price Index (API), realised (3-4 month lag)</t>
  </si>
  <si>
    <t xml:space="preserve">Alba discloses API US$444/t (2024), US$503/t (2025), US$340/t Q1 2026, US$308/t Q2 2026. CFO: purchase-to-P&amp;L lag of three to four months (FY2025 call, 18 Feb 2026)</t>
  </si>
  <si>
    <t xml:space="preserve">API as % of LME</t>
  </si>
  <si>
    <t xml:space="preserve">Aluminium-alumina spread (US$/t)</t>
  </si>
  <si>
    <t xml:space="preserve">C.  REVENUE BUILD  |  ALBA STANDALONE (US$m)</t>
  </si>
  <si>
    <t xml:space="preserve">Metal revenue (realised price x sales volume)</t>
  </si>
  <si>
    <t xml:space="preserve">Alumina trading, calcined petroleum coke and provisional pricing</t>
  </si>
  <si>
    <t xml:space="preserve">Audited note 19 disaggregation; H1 2026 reviewed note 8 (alumina trading BD26.3m, CPC BD6.9m)</t>
  </si>
  <si>
    <t xml:space="preserve">Total revenue  |  Alba standalone</t>
  </si>
  <si>
    <t xml:space="preserve">Reported revenue from contracts with customers (audited)</t>
  </si>
  <si>
    <t xml:space="preserve">Audited consolidated statement of profit or loss, BD1,543,908k / BD1,621,728k / BD1,778,772k</t>
  </si>
  <si>
    <t xml:space="preserve">Variance to reported (%)</t>
  </si>
  <si>
    <t xml:space="preserve">D.  REVENUE BY PRODUCT LINE (US$m)</t>
  </si>
  <si>
    <t xml:space="preserve">FY2023-25 audited note 19(a) "Type of goods"; forecast mix is an analyst input, calibrated to H1 2026A</t>
  </si>
  <si>
    <t xml:space="preserve">Billet (extrusion ingot)</t>
  </si>
  <si>
    <t xml:space="preserve">share of Alba revenue (%)</t>
  </si>
  <si>
    <t xml:space="preserve">Slab (rolling ingot)</t>
  </si>
  <si>
    <t xml:space="preserve">Foundry alloy</t>
  </si>
  <si>
    <t xml:space="preserve">Liquid metal</t>
  </si>
  <si>
    <t xml:space="preserve">Standard and T-ingots</t>
  </si>
  <si>
    <t xml:space="preserve">Alumina trading</t>
  </si>
  <si>
    <t xml:space="preserve">Calcined petroleum coke</t>
  </si>
  <si>
    <t xml:space="preserve">Provisional pricing adjustments</t>
  </si>
  <si>
    <t xml:space="preserve">Total revenue by product line</t>
  </si>
  <si>
    <t xml:space="preserve">Cross-check vs total Alba revenue (must be nil)</t>
  </si>
  <si>
    <t xml:space="preserve">Memo: value-added product revenue (billet, slab, foundry, liquid)</t>
  </si>
  <si>
    <t xml:space="preserve">Memo: VAP share of product revenue (%)</t>
  </si>
  <si>
    <t xml:space="preserve">E.  REVENUE BY GEOGRAPHY (US$m)</t>
  </si>
  <si>
    <t xml:space="preserve">FY2023-25 audited note 19(b) "Geographical markets"; forecast mix is an analyst input</t>
  </si>
  <si>
    <t xml:space="preserve">Kingdom of Bahrain (liquid metal cluster)</t>
  </si>
  <si>
    <t xml:space="preserve">Europe (Alba exports)</t>
  </si>
  <si>
    <t xml:space="preserve">Rest of Middle East and North Africa</t>
  </si>
  <si>
    <t xml:space="preserve">Asia</t>
  </si>
  <si>
    <t xml:space="preserve">Americas</t>
  </si>
  <si>
    <t xml:space="preserve">Total Alba revenue by geography</t>
  </si>
  <si>
    <t xml:space="preserve">Memo: exports (non-Bahrain) share of revenue (%)</t>
  </si>
  <si>
    <t xml:space="preserve">Alba discloses "approximately 70% of Alba products are exported" (FY2025 IR presentation, slide 15)</t>
  </si>
  <si>
    <t xml:space="preserve">F.  ALUMINIUM DUNKERQUE  |  ANALYST ESTIMATE, NOT COMPANY-DISCLOSED</t>
  </si>
  <si>
    <t xml:space="preserve">Alba has disclosed the US$2.2bn enterprise value, the c.300kt capacity, the up-to-US$2.25bn bank facility, the EUR100m / 6% Bpifrance stake and a Q4 2026 expected closing. It has disclosed NO Dunkerque revenue, EBITDA or balance sheet. Every operating figure below is an analyst estimate.</t>
  </si>
  <si>
    <t xml:space="preserve">Consolidation switch (1 = consolidated in the period)</t>
  </si>
  <si>
    <t xml:space="preserve">Closing guided for Q4 2026; modelled as a 31 Dec 2026 balance-sheet consolidation with P&amp;L from FY2027</t>
  </si>
  <si>
    <t xml:space="preserve">Balance sheet consolidation flag (1 = acquired in this period)</t>
  </si>
  <si>
    <t xml:space="preserve">Modelled as a 31 December 2026 balance sheet consolidation, consistent with the guided Q4 2026 closing</t>
  </si>
  <si>
    <t xml:space="preserve">Production (kt)</t>
  </si>
  <si>
    <t xml:space="preserve">Alba announcement: Aluminium Dunkerque produces approximately 300,000 tonnes per annum</t>
  </si>
  <si>
    <t xml:space="preserve">EU duty-paid premium above LME (US$/t)</t>
  </si>
  <si>
    <t xml:space="preserve">Anchored on the DDP Rotterdam premium Alba discloses (US$313/t Q4 2025) plus the CBAM-era uplift available to EU-domestic production; declining as the disruption premium unwinds</t>
  </si>
  <si>
    <t xml:space="preserve">Realised price (US$/t)</t>
  </si>
  <si>
    <t xml:space="preserve">Revenue</t>
  </si>
  <si>
    <t xml:space="preserve">Cash cost per tonne (US$/t)</t>
  </si>
  <si>
    <t xml:space="preserve">Estimated. EU smelter economics: higher power cost than Bahrain, offset by a long-dated French power contract and no seaborne alumina freight into the Gulf</t>
  </si>
  <si>
    <t xml:space="preserve">EBITDA</t>
  </si>
  <si>
    <t xml:space="preserve">EBITDA margin (%)</t>
  </si>
  <si>
    <t xml:space="preserve">Depreciation on acquired property, plant and equipment</t>
  </si>
  <si>
    <t xml:space="preserve">EBIT</t>
  </si>
  <si>
    <t xml:space="preserve">Cost of revenue (revenue less EBITDA plus D&amp;A)</t>
  </si>
  <si>
    <t xml:space="preserve">All Dunkerque operating costs, including its own selling and administrative expense, are presented within cost of revenue on consolidation</t>
  </si>
  <si>
    <t xml:space="preserve">Sustaining capital expenditure</t>
  </si>
  <si>
    <t xml:space="preserve">Purchase price allocation and funding (US$m, at closing)</t>
  </si>
  <si>
    <t xml:space="preserve">Enterprise value / consideration</t>
  </si>
  <si>
    <t xml:space="preserve">Alba announcement, 6 May 2026: approximately US$2.2 billion</t>
  </si>
  <si>
    <t xml:space="preserve">  Allocated to property, plant and equipment</t>
  </si>
  <si>
    <t xml:space="preserve">Analyst estimate</t>
  </si>
  <si>
    <t xml:space="preserve">  Allocated to inventories</t>
  </si>
  <si>
    <t xml:space="preserve">  Allocated to trade and other receivables</t>
  </si>
  <si>
    <t xml:space="preserve">  Less: trade and other payables assumed</t>
  </si>
  <si>
    <t xml:space="preserve">  Goodwill and intangibles (residual)</t>
  </si>
  <si>
    <t xml:space="preserve">Residual to consideration</t>
  </si>
  <si>
    <t xml:space="preserve">Funded by: acquisition facility drawn</t>
  </si>
  <si>
    <t xml:space="preserve">Syndicated facility of up to US$2.25bn signed 22 April 2026, undrawn at 30 June 2026 (reviewed note 2)</t>
  </si>
  <si>
    <t xml:space="preserve">Funded by: Bpifrance non-controlling interest (6%)</t>
  </si>
  <si>
    <t xml:space="preserve">EUR100m for 6% of the holding company with one board seat (Alba announcement, June 2026)</t>
  </si>
  <si>
    <t xml:space="preserve">Depreciable life of acquired PP&amp;E (years)</t>
  </si>
  <si>
    <t xml:space="preserve">Non-controlling interest share (%)</t>
  </si>
  <si>
    <t xml:space="preserve">Alba announcement</t>
  </si>
  <si>
    <t xml:space="preserve">G.  CONSOLIDATED REVENUE (US$m)</t>
  </si>
  <si>
    <t xml:space="preserve">Alba standalone</t>
  </si>
  <si>
    <t xml:space="preserve">Aluminium Dunkerque</t>
  </si>
  <si>
    <t xml:space="preserve">TOTAL CONSOLIDATED REVENUE</t>
  </si>
  <si>
    <t xml:space="preserve">Revenue per tonne sold, consolidated (US$/t)</t>
  </si>
  <si>
    <t xml:space="preserve">H.  UNIT COST STACK  |  ALBA STANDALONE (US$m unless stated)</t>
  </si>
  <si>
    <t xml:space="preserve">Input consumption applied to tonnes PRODUCED; cost of revenue is unit cost of goods produced applied to tonnes SOLD, which carries the inventory absorption effect automatically</t>
  </si>
  <si>
    <t xml:space="preserve">Alumina consumption ratio (t alumina per t aluminium)</t>
  </si>
  <si>
    <t xml:space="preserve">Industry standard for a Hall-Heroult smelter; Alba does not disclose the ratio</t>
  </si>
  <si>
    <t xml:space="preserve">Alumina cost</t>
  </si>
  <si>
    <t xml:space="preserve">Natural gas consumption (MMBtu per tonne of aluminium)</t>
  </si>
  <si>
    <t xml:space="preserve">Derived from c.13.5 MWh/t at combined-cycle efficiency; Alba runs 3,926 MW of captive generation</t>
  </si>
  <si>
    <t xml:space="preserve">Natural gas price (US$/MMBtu)</t>
  </si>
  <si>
    <t xml:space="preserve">Bapco Upstream 10-year agreement, US$4.00/MMBtu fixed for the first five years from January 2024; Alba discloses US$4.50/MMBtu for calendar 2026 (Q1 and Q2 2026 IR presentations). Conflict C6 in the Task 1 research: US$4.00 contracted vs US$4.50 disclosed. FY2029E-30E assume a contract reset</t>
  </si>
  <si>
    <t xml:space="preserve">Energy (natural gas) cost</t>
  </si>
  <si>
    <t xml:space="preserve">Carbon (calcined petroleum coke and liquid pitch) cost (US$/t Al)</t>
  </si>
  <si>
    <t xml:space="preserve">Alba guidance: carbon prices gained upward momentum in 2026 on reduced Chinese refinery utilisation</t>
  </si>
  <si>
    <t xml:space="preserve">Carbon cost</t>
  </si>
  <si>
    <t xml:space="preserve">Other raw materials, chiefly aluminium fluoride (US$/t Al)</t>
  </si>
  <si>
    <t xml:space="preserve">Other raw materials cost</t>
  </si>
  <si>
    <t xml:space="preserve">Fixed and semi-fixed production costs</t>
  </si>
  <si>
    <t xml:space="preserve">Audited note 21: staff costs allocated to cost of revenue plus spares and consumables, contracted repairs, insurance and other expenses (BD101.9m + BD119.2m in FY2025)</t>
  </si>
  <si>
    <t xml:space="preserve">Other production, logistics and curtailment costs</t>
  </si>
  <si>
    <t xml:space="preserve">Residual line. FY2023-25 solved so that modelled cost of revenue equals the audited figure exactly. FY2026E elevated for the controlled curtailment, supply-chain rerouting and force-majeure costs</t>
  </si>
  <si>
    <t xml:space="preserve">Depreciation and amortisation charged to cost of revenue</t>
  </si>
  <si>
    <t xml:space="preserve">COST OF GOODS PRODUCED</t>
  </si>
  <si>
    <t xml:space="preserve">Unit cost of goods produced (US$/t produced)</t>
  </si>
  <si>
    <t xml:space="preserve">Memo: cash cost of production, ex D&amp;A (US$/t)</t>
  </si>
  <si>
    <t xml:space="preserve">Cost of revenue  |  Alba (unit cost x tonnes sold)</t>
  </si>
  <si>
    <t xml:space="preserve">Cost of revenue  |  Aluminium Dunkerque</t>
  </si>
  <si>
    <t xml:space="preserve">TOTAL CONSOLIDATED COST OF REVENUE</t>
  </si>
  <si>
    <t xml:space="preserve">Reported cost of revenue (audited)</t>
  </si>
  <si>
    <t xml:space="preserve">BD1,290,417k (FY2023, as originally reported) / BD1,308,695k / BD1,444,189k</t>
  </si>
  <si>
    <t xml:space="preserve">I.  H1 2026 ACTUAL (REVIEWED)  |  MODEL CALIBRATION</t>
  </si>
  <si>
    <t xml:space="preserve">Interim condensed consolidated financial statements for the six months ended 30 June 2026, reviewed 4 August 2026, plus the Q1 and Q2 2026 investor presentations</t>
  </si>
  <si>
    <t xml:space="preserve">Q1 312,563 MT + Q2 280,799 MT</t>
  </si>
  <si>
    <t xml:space="preserve">Q1 339,734 MT + Q2 155,469 MT</t>
  </si>
  <si>
    <t xml:space="preserve">Average LME cash price (US$/t)</t>
  </si>
  <si>
    <t xml:space="preserve">Q2 2026 IR presentation, key financial indicators</t>
  </si>
  <si>
    <t xml:space="preserve">Realised premium above LME (US$/t)</t>
  </si>
  <si>
    <t xml:space="preserve">Q2 2026 IR presentation, premium trend</t>
  </si>
  <si>
    <t xml:space="preserve">Average API (US$/t)</t>
  </si>
  <si>
    <t xml:space="preserve">Q1 US$340/t and Q2 US$308/t IR presentations</t>
  </si>
  <si>
    <t xml:space="preserve">Revenue (US$m)</t>
  </si>
  <si>
    <t xml:space="preserve">BD843,000k, reviewed statement of profit or loss</t>
  </si>
  <si>
    <t xml:space="preserve">Cost of revenue (US$m)</t>
  </si>
  <si>
    <t xml:space="preserve">BD645,277k</t>
  </si>
  <si>
    <t xml:space="preserve">Gross profit (US$m)</t>
  </si>
  <si>
    <t xml:space="preserve">BD197,723k, 23.5% margin</t>
  </si>
  <si>
    <t xml:space="preserve">EBITDA (US$m)</t>
  </si>
  <si>
    <t xml:space="preserve">Q2 2026 IR presentation: H1 US$631m, up 76% YoY</t>
  </si>
  <si>
    <t xml:space="preserve">Profit attributable to equity holders (US$m)</t>
  </si>
  <si>
    <t xml:space="preserve">BD140,181k, EPS 99 fils</t>
  </si>
  <si>
    <t xml:space="preserve">Depreciation and amortisation (US$m)</t>
  </si>
  <si>
    <t xml:space="preserve">BD80,765k</t>
  </si>
  <si>
    <t xml:space="preserve">Capital expenditure (US$m)</t>
  </si>
  <si>
    <t xml:space="preserve">BD35,292k purchase of PP&amp;E</t>
  </si>
  <si>
    <t xml:space="preserve">Net cash from operating activities (US$m)</t>
  </si>
  <si>
    <t xml:space="preserve">BD307,590k</t>
  </si>
  <si>
    <t xml:space="preserve">Bank balances and cash at 30 June 2026 (US$m)</t>
  </si>
  <si>
    <t xml:space="preserve">BD509,474k</t>
  </si>
  <si>
    <t xml:space="preserve">Loans and borrowings at 30 June 2026 (US$m)</t>
  </si>
  <si>
    <t xml:space="preserve">BD265,437k + BD254,850k</t>
  </si>
  <si>
    <t xml:space="preserve">Implied unit cost of revenue (US$/t sold)</t>
  </si>
  <si>
    <t xml:space="preserve">Model FY2026E unit cost of goods produced is shown above for comparison</t>
  </si>
  <si>
    <t xml:space="preserve">J.  NOTES, SOURCES AND DATA CONFLICTS CARRIED FORWARD FROM TASK 1</t>
  </si>
  <si>
    <t xml:space="preserve">Primary sources. Aluminium Bahrain B.S.C. Annual Report 2025 (audited consolidated financial statements, auditor EY, signed 17 February 2026) for FY2025 and FY2024; the FY2024 audited consolidated financial statements for FY2023 comparatives; the interim condensed consolidated financial statements for the six months ended 30 June 2026 (reviewed 4 August 2026); and the FY2025, Q1 2026 and Q2 2026 investor relations presentations for volumes, prices, premiums and EBITDA.</t>
  </si>
  <si>
    <t xml:space="preserve">Presentation basis. FY2023 is shown as originally reported. In the FY2025 accounts, FY2024 comparatives were reclassified between cost of revenue, general and administrative expenses and other income; profit before tax and EBITDA are unaffected. FY2024 and FY2025 are shown on the FY2025 basis.</t>
  </si>
  <si>
    <t xml:space="preserve">EBITDA definition. Gross profit plus other income net plus foreign exchange, less general and administrative expenses, selling and distribution expenses and directors remuneration, plus depreciation and amortisation. This definition reproduces the EBITDA Alba discloses in every historical year: US$804m (FY2023), US$939m (FY2024) and US$1,078m (FY2025).</t>
  </si>
  <si>
    <t xml:space="preserve">Currency. The Bahraini dinar is pegged at BHD 1 = US$2.65957. All translations are exact and reversible.</t>
  </si>
  <si>
    <t xml:space="preserve">C1 (product mix). Task 1 flagged that the FY2025 IR presentation product-line percentages could not be mapped to labels. This model does not use that slide: the product split above is taken from the audited note 19(a) revenue disaggregation, which resolves the conflict on a revenue basis.</t>
  </si>
  <si>
    <t xml:space="preserve">C2 (New Replacement Line). Per the Task 1 instruction, NO New Replacement Line capacity is modelled. Alba has disclosed neither the capacity (380kt vs 540kt conflict) nor the capital cost, and no board decision has been made public. Forecast volumes recover towards the existing 1.62 Mtpa base only.</t>
  </si>
  <si>
    <t xml:space="preserve">C4 (2026 curtailment). The twelve-month restoration estimate is third-party, not company-sourced, and is not used as an input. Forecast volumes are built from disclosed Q1 and Q2 2026 actuals plus a recovery path; the bear case tests a slower restart.</t>
  </si>
  <si>
    <t xml:space="preserve">C6 (gas price). Alba disclosed US$4.00/MMBtu fixed for five years from January 2024 and US$4.50/MMBtu for calendar 2026. The model uses US$4.50/MMBtu for FY2026E-FY2028E and steps to US$5.25/MMBtu on contract reset from FY2029E.</t>
  </si>
  <si>
    <t xml:space="preserve">Aluminium Dunkerque. No revenue, EBITDA or balance sheet has been disclosed by Alba, American Industrial Partners or Bpifrance. Section F is an analyst estimate throughout and is isolated behind a consolidation switch so that the model can be run on an Alba-standalone basis.</t>
  </si>
  <si>
    <t xml:space="preserve">Balance sheet integrity. Every projected balance sheet item either flows from a driver on this tab or is held at its 31 December 2025 audited carrying value. Cash is the plug from the cash flow statement, so the balance check on the Balance Sheet tab is an independent test of internal consistency.</t>
  </si>
  <si>
    <t xml:space="preserve">Aluminium Bahrain B.S.C. (Alba)  |  Consolidated income statement and projections</t>
  </si>
  <si>
    <t xml:space="preserve">US$ millions unless stated. FY2023A-FY2025A audited; FY2026E-FY2030E Al Ramz Investment Research estimates. Expenses shown in parentheses. Estimate columns shaded.</t>
  </si>
  <si>
    <t xml:space="preserve">CONSOLIDATED STATEMENT OF PROFIT OR LOSS</t>
  </si>
  <si>
    <t xml:space="preserve">Revenue from contracts with customers</t>
  </si>
  <si>
    <t xml:space="preserve">Audited note 19 / Revenue Model tab section G</t>
  </si>
  <si>
    <t xml:space="preserve">Cost of revenue</t>
  </si>
  <si>
    <t xml:space="preserve">Audited statement of profit or loss / Revenue Model tab section H unit-cost build</t>
  </si>
  <si>
    <t xml:space="preserve">GROSS PROFIT</t>
  </si>
  <si>
    <t xml:space="preserve">Gross margin (%)</t>
  </si>
  <si>
    <t xml:space="preserve">OTHER INCOME AND OPERATING EXPENSES</t>
  </si>
  <si>
    <t xml:space="preserve">Other operating income (water sales, insurance recoveries, miscellaneous)</t>
  </si>
  <si>
    <t xml:space="preserve">Audited note 20 less interest income. FY2026E includes the Q2 2026 recovery of BD26.2m recognised in other income in the reviewed interim accounts</t>
  </si>
  <si>
    <t xml:space="preserve">Interest income</t>
  </si>
  <si>
    <t xml:space="preserve">Audited note 20. Forecast: yield on opening cash and deposits</t>
  </si>
  <si>
    <t xml:space="preserve">Other income - net</t>
  </si>
  <si>
    <t xml:space="preserve">Gain / (loss) on foreign exchange</t>
  </si>
  <si>
    <t xml:space="preserve">General and administrative expenses</t>
  </si>
  <si>
    <t xml:space="preserve">Audited note 21.1. FY2026E elevated by Aluminium Dunkerque transaction costs (H1 2026 actual BD40.3m)</t>
  </si>
  <si>
    <t xml:space="preserve">% of revenue</t>
  </si>
  <si>
    <t xml:space="preserve">Selling and distribution expenses</t>
  </si>
  <si>
    <t xml:space="preserve">Audited note 21.1; principally freight (BD47.2m in FY2025) and marketing organisation costs</t>
  </si>
  <si>
    <t xml:space="preserve">Directors' remuneration</t>
  </si>
  <si>
    <t xml:space="preserve">Audited note 25: BD420k per annum</t>
  </si>
  <si>
    <t xml:space="preserve">Total operating expenses</t>
  </si>
  <si>
    <t xml:space="preserve">EBITDA, DEPRECIATION AND OPERATING PROFIT</t>
  </si>
  <si>
    <t xml:space="preserve">EBITDA as disclosed by Alba</t>
  </si>
  <si>
    <t xml:space="preserve">FY2023 and FY2025 IR presentations, key financial performance indicators</t>
  </si>
  <si>
    <t xml:space="preserve">Depreciation and amortisation  |  Alba</t>
  </si>
  <si>
    <t xml:space="preserve">Audited note 4. Forecast: depreciation rate applied to average gross property, plant and equipment</t>
  </si>
  <si>
    <t xml:space="preserve">Depreciation and amortisation  |  Aluminium Dunkerque</t>
  </si>
  <si>
    <t xml:space="preserve">Total depreciation and amortisation</t>
  </si>
  <si>
    <t xml:space="preserve">Memo: charged to cost of revenue (shown positive; feeds the unit cost stack)</t>
  </si>
  <si>
    <t xml:space="preserve">Audited note 4: BD151,144k of BD153,549k charged to cost of revenue in FY2025</t>
  </si>
  <si>
    <t xml:space="preserve">EBIT / OPERATING PROFIT</t>
  </si>
  <si>
    <t xml:space="preserve">EBIT margin (%)</t>
  </si>
  <si>
    <t xml:space="preserve">FINANCE, TAX AND EARNINGS</t>
  </si>
  <si>
    <t xml:space="preserve">Finance costs</t>
  </si>
  <si>
    <t xml:space="preserve">Audited note 22. FY2026E calibrated to H1 2026 actual of BD13.8m plus H2 estimate; FY2027E onward is the contractual rate applied to opening debt balances (Balance Sheet tab, debt schedule)</t>
  </si>
  <si>
    <t xml:space="preserve">Realised gain on settlement of IRS cash flow hedge</t>
  </si>
  <si>
    <t xml:space="preserve">Audited note 17; amortising swap with NBB, notional BD128.9m, expiring 29 April 2030</t>
  </si>
  <si>
    <t xml:space="preserve">Changes in fair value of derivative financial instruments</t>
  </si>
  <si>
    <t xml:space="preserve">PROFIT BEFORE TAX</t>
  </si>
  <si>
    <t xml:space="preserve">Effective tax rate (%)</t>
  </si>
  <si>
    <t xml:space="preserve">Alba has historically been taxed only on its US subsidiary (audited note 18). Bahrain introduced a 15% Domestic Minimum Top-up Tax under Decree Law 11 of 2024. Management stated on 18 February 2026 that it does not foresee an impact in 2026; the base case phases the charge in from FY2027E and reaches 15% from FY2028E</t>
  </si>
  <si>
    <t xml:space="preserve">Income tax expense</t>
  </si>
  <si>
    <t xml:space="preserve">PROFIT FOR THE YEAR</t>
  </si>
  <si>
    <t xml:space="preserve">Net margin (%)</t>
  </si>
  <si>
    <t xml:space="preserve">Attributable to non-controlling interest</t>
  </si>
  <si>
    <t xml:space="preserve">Bpifrance 6% of the Aluminium Dunkerque holding company; acquisition facility interest is borne at the Alba level and is not allocated to the non-controlling interest</t>
  </si>
  <si>
    <t xml:space="preserve">Attributable to equity holders of Aluminium Bahrain B.S.C.</t>
  </si>
  <si>
    <t xml:space="preserve">Profit as reported (audited)</t>
  </si>
  <si>
    <t xml:space="preserve">BD118,025k / BD184,542k / BD218,687k</t>
  </si>
  <si>
    <t xml:space="preserve">PER SHARE DATA</t>
  </si>
  <si>
    <t xml:space="preserve">Weighted average shares outstanding, net of treasury (m)</t>
  </si>
  <si>
    <t xml:space="preserve">Audited note 23: 1,415,914k (FY2024) and 1,415,499k (FY2025); 1,416,048k shares outstanding at 31 December 2025 (note 8)</t>
  </si>
  <si>
    <t xml:space="preserve">Basic and diluted EPS (US$)</t>
  </si>
  <si>
    <t xml:space="preserve">Basic and diluted EPS (fils)</t>
  </si>
  <si>
    <t xml:space="preserve">Reported: 83 fils (FY2023), 130 fils (FY2024), 154 fils (FY2025), 99 fils (H1 2026)</t>
  </si>
  <si>
    <t xml:space="preserve">Dividends paid in the year (US$m)</t>
  </si>
  <si>
    <t xml:space="preserve">Dividend per share paid (fils)</t>
  </si>
  <si>
    <t xml:space="preserve">FY2025: final 2024 dividend of 26.58 fils plus 2025 interim of 10.55 fils (audited note 12)</t>
  </si>
  <si>
    <t xml:space="preserve">Implied payout on prior-year profit (%)</t>
  </si>
  <si>
    <t xml:space="preserve">Policy stated twice by the CFO on the FY2025 call: 35% payout ratio</t>
  </si>
  <si>
    <t xml:space="preserve">OPERATING AND RETURNS METRICS</t>
  </si>
  <si>
    <t xml:space="preserve">Net finished production, Alba (kt)</t>
  </si>
  <si>
    <t xml:space="preserve">Sales volume, consolidated (kt)</t>
  </si>
  <si>
    <t xml:space="preserve">Realised price per tonne, Alba (US$/t)</t>
  </si>
  <si>
    <t xml:space="preserve">Cash cost per tonne produced, Alba (US$/t)</t>
  </si>
  <si>
    <t xml:space="preserve">EBITDA per tonne sold (US$/t)</t>
  </si>
  <si>
    <t xml:space="preserve">Return on average equity (%)</t>
  </si>
  <si>
    <t xml:space="preserve">Return on capital employed (%)</t>
  </si>
  <si>
    <t xml:space="preserve">Revenue CAGR FY2025A-FY2030E (%)</t>
  </si>
  <si>
    <t xml:space="preserve">EBITDA CAGR FY2025A-FY2030E (%)</t>
  </si>
  <si>
    <t xml:space="preserve">FY2023 is presented as originally reported in the FY2024 audited accounts. FY2024 comparatives were reclassified in the FY2025 accounts between cost of revenue, general and administrative expenses and other income; profit before tax, EBITDA and profit for the year are unaffected.</t>
  </si>
  <si>
    <t xml:space="preserve">Aluminium Bahrain B.S.C. (Alba)  |  Consolidated cash flow statement and projections</t>
  </si>
  <si>
    <t xml:space="preserve">US$ millions. Presented on a bank balances and cash basis: movements in deposits with an original maturity of more than three months are excluded from investing activities so that the statement reconciles directly to the balance sheet.</t>
  </si>
  <si>
    <t xml:space="preserve">OPERATING ACTIVITIES</t>
  </si>
  <si>
    <t xml:space="preserve">Profit before tax</t>
  </si>
  <si>
    <t xml:space="preserve">Depreciation and amortisation</t>
  </si>
  <si>
    <t xml:space="preserve">Realised gain on settlement of interest rate swap</t>
  </si>
  <si>
    <t xml:space="preserve">Other non-cash adjustments (provisions, credit losses, disposals, write-offs)</t>
  </si>
  <si>
    <t xml:space="preserve">Audited cash flow statement adjustments. Held at nil in the forecast</t>
  </si>
  <si>
    <t xml:space="preserve">Foreign exchange on loans, borrowings and bank balances</t>
  </si>
  <si>
    <t xml:space="preserve">Operating profit before working capital changes</t>
  </si>
  <si>
    <t xml:space="preserve">Working capital changes:</t>
  </si>
  <si>
    <t xml:space="preserve">Inventories</t>
  </si>
  <si>
    <t xml:space="preserve">Trade and other receivables</t>
  </si>
  <si>
    <t xml:space="preserve">Trade and other payables</t>
  </si>
  <si>
    <t xml:space="preserve">Net change in working capital</t>
  </si>
  <si>
    <t xml:space="preserve">Net cash generated from operations</t>
  </si>
  <si>
    <t xml:space="preserve">Employees' end of service benefits paid</t>
  </si>
  <si>
    <t xml:space="preserve">Income tax paid</t>
  </si>
  <si>
    <t xml:space="preserve">NET CASH FLOWS FROM OPERATING ACTIVITIES</t>
  </si>
  <si>
    <t xml:space="preserve">Audited: BD328,673k (FY2023), BD296,671k (FY2024), BD387,434k (FY2025); H1 2026 BD307,590k</t>
  </si>
  <si>
    <t xml:space="preserve">INVESTING ACTIVITIES</t>
  </si>
  <si>
    <t xml:space="preserve">Purchase of property, plant and equipment  |  Alba</t>
  </si>
  <si>
    <t xml:space="preserve">Purchase of property, plant and equipment  |  Aluminium Dunkerque</t>
  </si>
  <si>
    <t xml:space="preserve">Acquisition of Aluminium Dunkerque, net of cash acquired</t>
  </si>
  <si>
    <t xml:space="preserve">US$2.2bn enterprise value; completion guided for Q4 2026 subject to French foreign direct investment and EU regulatory clearance (reviewed interim note 2)</t>
  </si>
  <si>
    <t xml:space="preserve">Proceeds from disposal of property, plant and equipment</t>
  </si>
  <si>
    <t xml:space="preserve">Interest received</t>
  </si>
  <si>
    <t xml:space="preserve">NET CASH FLOWS USED IN INVESTING ACTIVITIES</t>
  </si>
  <si>
    <t xml:space="preserve">FREE CASH FLOW (operating cash flow less capital expenditure)</t>
  </si>
  <si>
    <t xml:space="preserve">Free cash flow margin (%)</t>
  </si>
  <si>
    <t xml:space="preserve">Free cash flow as disclosed by Alba</t>
  </si>
  <si>
    <t xml:space="preserve">FY2023 and FY2025 IR presentations. Alba defines free cash flow on a different basis (FY2023 excludes Power Station 5 Block 4 capital expenditure); the computed line above is operating cash flow less capital expenditure</t>
  </si>
  <si>
    <t xml:space="preserve">FINANCING ACTIVITIES</t>
  </si>
  <si>
    <t xml:space="preserve">Proceeds from loans and borrowings</t>
  </si>
  <si>
    <t xml:space="preserve">Repayment of loans and borrowings</t>
  </si>
  <si>
    <t xml:space="preserve">Forecast: scheduled term amortisation, revolver movement and acquisition facility repayment per the debt schedule on the Balance Sheet tab</t>
  </si>
  <si>
    <t xml:space="preserve">Interest on loans, borrowings and leases paid</t>
  </si>
  <si>
    <t xml:space="preserve">Payment of lease liabilities</t>
  </si>
  <si>
    <t xml:space="preserve">Dividends paid</t>
  </si>
  <si>
    <t xml:space="preserve">Audited note 12. FY2026E is the 2025 final dividend of BD61.6m paid on 8 April 2026 (BD61,594k actually paid in H1 2026) plus an estimated 2026 interim; thereafter the stated 35% payout policy applied to the prior-year profit attributable to equity holders</t>
  </si>
  <si>
    <t xml:space="preserve">Settlement of derivatives</t>
  </si>
  <si>
    <t xml:space="preserve">Net movement in treasury shares</t>
  </si>
  <si>
    <t xml:space="preserve">Proceeds from non-controlling interest (Bpifrance)</t>
  </si>
  <si>
    <t xml:space="preserve">NET CASH FLOWS FROM / (USED IN) FINANCING ACTIVITIES</t>
  </si>
  <si>
    <t xml:space="preserve">MOVEMENT IN CASH</t>
  </si>
  <si>
    <t xml:space="preserve">NET INCREASE / (DECREASE) IN BANK BALANCES AND CASH</t>
  </si>
  <si>
    <t xml:space="preserve">Bank balances and cash at 1 January</t>
  </si>
  <si>
    <t xml:space="preserve">FY2023 opening balance of BD93,617k per the audited FY2023 cash flow statement (US$249m)</t>
  </si>
  <si>
    <t xml:space="preserve">Effect of movement in exchange rates on cash held</t>
  </si>
  <si>
    <t xml:space="preserve">BANK BALANCES AND CASH AT 31 DECEMBER</t>
  </si>
  <si>
    <t xml:space="preserve">Cross-check vs balance sheet (must be nil)</t>
  </si>
  <si>
    <t xml:space="preserve">Memo: deposits with original maturity of more than three months</t>
  </si>
  <si>
    <t xml:space="preserve">Memo: cash and cash equivalents (audited definition)</t>
  </si>
  <si>
    <t xml:space="preserve">CASH FLOW QUALITY METRICS</t>
  </si>
  <si>
    <t xml:space="preserve">Cash conversion (operating cash flow / EBITDA)</t>
  </si>
  <si>
    <t xml:space="preserve">Capital expenditure as % of revenue</t>
  </si>
  <si>
    <t xml:space="preserve">Capital expenditure as % of depreciation</t>
  </si>
  <si>
    <t xml:space="preserve">Dividends paid as % of free cash flow</t>
  </si>
  <si>
    <t xml:space="preserve">Cumulative free cash flow FY2026E-FY2030E (US$m)</t>
  </si>
  <si>
    <t xml:space="preserve">Movements in deposits with an original maturity of more than three months (BD4,832k in FY2024 and BD643k in FY2025) are excluded from investing activities here so that the statement reconciles to bank balances and cash on the balance sheet rather than to the narrower audited cash and cash equivalents definition. The memo lines above restore the audited presentation.</t>
  </si>
  <si>
    <t xml:space="preserve">Aluminium Bahrain B.S.C. (Alba)  |  Consolidated balance sheet, PP&amp;E roll-forward and debt schedule</t>
  </si>
  <si>
    <t xml:space="preserve">US$ millions. FY2023A-FY2025A audited consolidated statement of financial position. Projected cash is the plug from the cash flow statement, so the balance check is an independent test of internal consistency.</t>
  </si>
  <si>
    <t xml:space="preserve">ASSETS</t>
  </si>
  <si>
    <t xml:space="preserve">Non-current assets</t>
  </si>
  <si>
    <t xml:space="preserve">Property, plant and equipment</t>
  </si>
  <si>
    <t xml:space="preserve">Audited note 4; BD1,812,601k at 31 December 2025</t>
  </si>
  <si>
    <t xml:space="preserve">Goodwill and intangibles arising on acquisition</t>
  </si>
  <si>
    <t xml:space="preserve">Residual of the US$2.2bn consideration over identifiable net assets (analyst estimate)</t>
  </si>
  <si>
    <t xml:space="preserve">Derivative financial instruments</t>
  </si>
  <si>
    <t xml:space="preserve">Deferred tax assets</t>
  </si>
  <si>
    <t xml:space="preserve">Total non-current assets</t>
  </si>
  <si>
    <t xml:space="preserve">Current assets</t>
  </si>
  <si>
    <t xml:space="preserve">Audited note 5. Forecast: percentage of consolidated cost of revenue (inventory days)</t>
  </si>
  <si>
    <t xml:space="preserve">Audited note 6. Forecast: percentage of consolidated revenue (receivable days)</t>
  </si>
  <si>
    <t xml:space="preserve">Bank balances and cash</t>
  </si>
  <si>
    <t xml:space="preserve">Audited note 7. Forecast: closing balance from the cash flow statement (the model plug)</t>
  </si>
  <si>
    <t xml:space="preserve">Total current assets</t>
  </si>
  <si>
    <t xml:space="preserve">TOTAL ASSETS</t>
  </si>
  <si>
    <t xml:space="preserve">EQUITY</t>
  </si>
  <si>
    <t xml:space="preserve">Share capital</t>
  </si>
  <si>
    <t xml:space="preserve">Audited note 8: 1,420,000,000 shares of 100 fils; 3,952,258 held in treasury at 31 Dec 2025</t>
  </si>
  <si>
    <t xml:space="preserve">Treasury shares</t>
  </si>
  <si>
    <t xml:space="preserve">Statutory reserve</t>
  </si>
  <si>
    <t xml:space="preserve">Capital reserve</t>
  </si>
  <si>
    <t xml:space="preserve">Cash flow hedge reserve</t>
  </si>
  <si>
    <t xml:space="preserve">Retained earnings</t>
  </si>
  <si>
    <t xml:space="preserve">Audited statement of changes in equity. Forecast: opening balance plus profit attributable to equity holders less dividends paid</t>
  </si>
  <si>
    <t xml:space="preserve">Equity attributable to owners of Aluminium Bahrain B.S.C.</t>
  </si>
  <si>
    <t xml:space="preserve">Non-controlling interest</t>
  </si>
  <si>
    <t xml:space="preserve">TOTAL EQUITY</t>
  </si>
  <si>
    <t xml:space="preserve">LIABILITIES</t>
  </si>
  <si>
    <t xml:space="preserve">Non-current liabilities</t>
  </si>
  <si>
    <t xml:space="preserve">Loans and borrowings</t>
  </si>
  <si>
    <t xml:space="preserve">Lease liabilities</t>
  </si>
  <si>
    <t xml:space="preserve">Employees' end of service benefits</t>
  </si>
  <si>
    <t xml:space="preserve">Total non-current liabilities</t>
  </si>
  <si>
    <t xml:space="preserve">Current liabilities</t>
  </si>
  <si>
    <t xml:space="preserve">Audited note 16. Forecast: percentage of consolidated cost of revenue (payable days)</t>
  </si>
  <si>
    <t xml:space="preserve">Total current liabilities</t>
  </si>
  <si>
    <t xml:space="preserve">TOTAL LIABILITIES</t>
  </si>
  <si>
    <t xml:space="preserve">TOTAL EQUITY AND LIABILITIES</t>
  </si>
  <si>
    <t xml:space="preserve">BALANCE CHECK (total assets less total equity and liabilities)</t>
  </si>
  <si>
    <t xml:space="preserve">Status</t>
  </si>
  <si>
    <t xml:space="preserve">PROPERTY, PLANT AND EQUIPMENT ROLL-FORWARD</t>
  </si>
  <si>
    <t xml:space="preserve">Gross property, plant and equipment, opening</t>
  </si>
  <si>
    <t xml:space="preserve">Capital expenditure  |  Alba</t>
  </si>
  <si>
    <t xml:space="preserve">Audited cash flow: BD132,527k / BD103,996k / BD107,519k. FY2026E from H1 2026 actual of BD35,292k plus an H2 estimate; FY2027E onward is sustaining capital expenditure. Contracted capital commitments were BD59,696k at 31 December 2025 (audited note 24). No New Replacement Line capex is modelled</t>
  </si>
  <si>
    <t xml:space="preserve">Acquired property, plant and equipment  |  Aluminium Dunkerque</t>
  </si>
  <si>
    <t xml:space="preserve">Disposals and write-offs</t>
  </si>
  <si>
    <t xml:space="preserve">Gross property, plant and equipment, closing</t>
  </si>
  <si>
    <t xml:space="preserve">Audited note 4: BD3,875,213k gross cost at 31 December 2025</t>
  </si>
  <si>
    <t xml:space="preserve">Depreciation rate on average gross PP&amp;E (%)</t>
  </si>
  <si>
    <t xml:space="preserve">Depreciation and amortisation charge  |  Alba</t>
  </si>
  <si>
    <t xml:space="preserve">Net property, plant and equipment, closing</t>
  </si>
  <si>
    <t xml:space="preserve">DEBT AND FINANCING SCHEDULE (carrying value, US$m)</t>
  </si>
  <si>
    <t xml:space="preserve">Audited note 13. FY2025 carrying value of net loans and borrowings BD365,816k = US$972.8m</t>
  </si>
  <si>
    <t xml:space="preserve">Term facilities, opening</t>
  </si>
  <si>
    <t xml:space="preserve">Scheduled amortisation</t>
  </si>
  <si>
    <t xml:space="preserve">Line 6 Refinancing Term Loan (16 semi-annual instalments from October 2022), SERV, EDC and Sinosure export credit facilities per audited note 13 maturity profiles</t>
  </si>
  <si>
    <t xml:space="preserve">Term facilities, closing</t>
  </si>
  <si>
    <t xml:space="preserve">Working capital revolving credit, opening</t>
  </si>
  <si>
    <t xml:space="preserve">Net drawdown / (repayment)</t>
  </si>
  <si>
    <t xml:space="preserve">Working capital revolving credit, closing</t>
  </si>
  <si>
    <t xml:space="preserve">Aluminium Dunkerque acquisition facility, opening</t>
  </si>
  <si>
    <t xml:space="preserve">Drawn</t>
  </si>
  <si>
    <t xml:space="preserve">Syndicated facility of up to US$2.25bn signed 22 April 2026, undrawn at 30 June 2026, drawn at closing net of the Bpifrance equity contribution</t>
  </si>
  <si>
    <t xml:space="preserve">Repaid</t>
  </si>
  <si>
    <t xml:space="preserve">Aluminium Dunkerque acquisition facility, closing</t>
  </si>
  <si>
    <t xml:space="preserve">TOTAL LOANS AND BORROWINGS</t>
  </si>
  <si>
    <t xml:space="preserve">of which current (due within twelve months)</t>
  </si>
  <si>
    <t xml:space="preserve">FY2031E scheduled repayments (memo input for the FY2030E current portion)</t>
  </si>
  <si>
    <t xml:space="preserve">Interest rate, term facilities and revolver (%)</t>
  </si>
  <si>
    <t xml:space="preserve">SOFR plus 1.47% on the Line 6 refinancing, plus 0.55% to 1.35% on the export credit facilities and revolver, plus amortisation of arrangement fees</t>
  </si>
  <si>
    <t xml:space="preserve">Interest rate, acquisition facility (%)</t>
  </si>
  <si>
    <t xml:space="preserve">Interest yield on cash and deposits (%)</t>
  </si>
  <si>
    <t xml:space="preserve">Audited note 7: call accounts earning 0.13% to 4.5% at 31 December 2025</t>
  </si>
  <si>
    <t xml:space="preserve">Dividend payout policy (% of prior-year profit attributable to equity holders)</t>
  </si>
  <si>
    <t xml:space="preserve">Policy stated twice by the CFO on the FY2025 earnings call, 18 February 2026, and endorsed by the CEO as a fair payout ratio by smelting industry benchmarks</t>
  </si>
  <si>
    <t xml:space="preserve">WORKING CAPITAL DRIVERS AND CREDIT METRICS</t>
  </si>
  <si>
    <t xml:space="preserve">Trade and other receivables, % of revenue</t>
  </si>
  <si>
    <t xml:space="preserve">Inventories, % of cost of revenue</t>
  </si>
  <si>
    <t xml:space="preserve">Trade and other payables, % of cost of revenue</t>
  </si>
  <si>
    <t xml:space="preserve">Receivable days</t>
  </si>
  <si>
    <t xml:space="preserve">Alba discloses accounts receivable days of 54 (2024) and 46 (2025) on a trade-receivables-only basis</t>
  </si>
  <si>
    <t xml:space="preserve">Inventory days</t>
  </si>
  <si>
    <t xml:space="preserve">Alba discloses inventory days of 113 (2024) and 105 (2025)</t>
  </si>
  <si>
    <t xml:space="preserve">Payable days</t>
  </si>
  <si>
    <t xml:space="preserve">Net working capital</t>
  </si>
  <si>
    <t xml:space="preserve">Net debt (loans and borrowings less bank balances and cash)</t>
  </si>
  <si>
    <t xml:space="preserve">Reconciles to the net debt Alba discloses: US$1,399m (2023), US$1,103m (2024), US$564m (2025)</t>
  </si>
  <si>
    <t xml:space="preserve">Net debt / EBITDA (x)</t>
  </si>
  <si>
    <t xml:space="preserve">Alba discloses 1.74x (2023), 1.17x (2024) and 0.52x (2025)</t>
  </si>
  <si>
    <t xml:space="preserve">Net debt / total equity (%)</t>
  </si>
  <si>
    <t xml:space="preserve">Capital employed (net debt plus total equity)</t>
  </si>
  <si>
    <t xml:space="preserve">Book value per share (US$)</t>
  </si>
  <si>
    <t xml:space="preserve">Book value per share (BHD)</t>
  </si>
  <si>
    <t xml:space="preserve">The forecast balance sheet holds derivative assets and liabilities, non-current receivables, deferred tax, the cash flow hedge reserve, treasury shares and end of service benefits at their 31 December 2025 audited carrying values. Every other line is driven from this model, so cash being the plug makes the balance check a genuine test rather than a tautology.</t>
  </si>
  <si>
    <t xml:space="preserve">Aluminium Bahrain B.S.C. (Alba)  |  Bull, base and bear scenarios</t>
  </si>
  <si>
    <t xml:space="preserve">US$ millions unless stated. The base case links live to the Revenue Model, Income Statement and Balance Sheet tabs, so it always equals the model. The bull and bear cases are independent input blocks.</t>
  </si>
  <si>
    <t xml:space="preserve">SCENARIO DEFINITIONS</t>
  </si>
  <si>
    <t xml:space="preserve">Bull case  |  "The disruption holds"</t>
  </si>
  <si>
    <t xml:space="preserve">Strait of Hormuz trade remains constrained through 2027. LME averages US$3,500/t in 2027 and settles at US$3,100/t by 2030, with realised premiums peaking at US$460/t. Alba restarts Lines 1 to 3 through late 2026 and recovers to 1,420kt of production in 2027 and the full 1,620kt run rate from 2028. Alumina stays cheap on Asian oversupply. Aluminium Dunkerque completes on schedule and delivers a 23% EBITDA margin in 2027. Bahrain grants Alba relief from the Domestic Minimum Top-up Tax. Payout rises to 40%.</t>
  </si>
  <si>
    <t xml:space="preserve">Base case  |  "Orderly normalisation"</t>
  </si>
  <si>
    <t xml:space="preserve">LME normalises from US$3,350/t in 2026 to US$2,750/t by 2030, the top of the CRU mid-cycle band Alba disclosed. Production recovers to 1,300kt in 2027, 1,510kt in 2028 and 1,620kt by 2030; no New Replacement Line capacity is modelled. Realised premiums fall from US$430/t to US$330/t as US Section 232 distortions unwind. Aluminium Dunkerque completes at the end of 2026 and contributes from 2027 at a 21% EBITDA margin. The Domestic Minimum Top-up Tax phases in from 2027 and reaches 15% from 2028. Payout held at the stated 35%.</t>
  </si>
  <si>
    <t xml:space="preserve">Bear case  |  "Hormuz reopens, volumes do not"</t>
  </si>
  <si>
    <t xml:space="preserve">The chokepoint reopens in 2027, releasing the roughly 700kt of held metal the industry has flagged. LME reverts to US$2,700/t in 2027 and US$2,500/t by 2029, below the CRU mid-cycle band, and realised premiums fall to US$275/t. Alba is slow to restart: the cold outage on Lines 1 to 3, commissioned between 1971 and 1981, requires cathode relining, so production only reaches 1,150kt in 2027 and 1,550kt by 2030, with capital expenditure raised accordingly. Alumina normalises upward while carbon stays firm. Aluminium Dunkerque completes into a falling market and is barely EBITDA-positive. The Domestic Minimum Top-up Tax applies in full from 2027. Payout is cut to 25%.</t>
  </si>
  <si>
    <t xml:space="preserve">BULL CASE</t>
  </si>
  <si>
    <t xml:space="preserve">LME cash price (US$/t)</t>
  </si>
  <si>
    <t xml:space="preserve">Product mix and realisation adjustment (US$/t)</t>
  </si>
  <si>
    <t xml:space="preserve">Realised price per tonne (US$/t)</t>
  </si>
  <si>
    <t xml:space="preserve">Sales volume, Alba (kt)</t>
  </si>
  <si>
    <t xml:space="preserve">Metal revenue</t>
  </si>
  <si>
    <t xml:space="preserve">Other revenue (alumina trading, coke, provisional pricing)</t>
  </si>
  <si>
    <t xml:space="preserve">Revenue, Alba standalone</t>
  </si>
  <si>
    <t xml:space="preserve">Revenue, Aluminium Dunkerque</t>
  </si>
  <si>
    <t xml:space="preserve">TOTAL REVENUE</t>
  </si>
  <si>
    <t xml:space="preserve">Realised alumina price (US$/t)</t>
  </si>
  <si>
    <t xml:space="preserve">Energy cost</t>
  </si>
  <si>
    <t xml:space="preserve">Carbon and other raw materials (US$/t)</t>
  </si>
  <si>
    <t xml:space="preserve">Carbon and other raw material cost</t>
  </si>
  <si>
    <t xml:space="preserve">Depreciation charged to cost of revenue, Alba</t>
  </si>
  <si>
    <t xml:space="preserve">Cost of goods produced</t>
  </si>
  <si>
    <t xml:space="preserve">Unit cost of goods produced (US$/t)</t>
  </si>
  <si>
    <t xml:space="preserve">Cost of revenue, Alba</t>
  </si>
  <si>
    <t xml:space="preserve">EBITDA, Aluminium Dunkerque</t>
  </si>
  <si>
    <t xml:space="preserve">Depreciation, Aluminium Dunkerque</t>
  </si>
  <si>
    <t xml:space="preserve">Cost of revenue, Aluminium Dunkerque</t>
  </si>
  <si>
    <t xml:space="preserve">TOTAL COST OF REVENUE</t>
  </si>
  <si>
    <t xml:space="preserve">Other income less administrative and selling expenses</t>
  </si>
  <si>
    <t xml:space="preserve">Net finance costs</t>
  </si>
  <si>
    <t xml:space="preserve">NET INCOME</t>
  </si>
  <si>
    <t xml:space="preserve">EPS (fils)</t>
  </si>
  <si>
    <t xml:space="preserve">Capital expenditure</t>
  </si>
  <si>
    <t xml:space="preserve">Net working capital (27.5% of revenue)</t>
  </si>
  <si>
    <t xml:space="preserve">Change in net working capital</t>
  </si>
  <si>
    <t xml:space="preserve">FREE CASH FLOW (EBITDA less tax, net finance, capex and working capital)</t>
  </si>
  <si>
    <t xml:space="preserve">Aluminium Dunkerque acquisition, net of Bpifrance contribution</t>
  </si>
  <si>
    <t xml:space="preserve">NET DEBT (closing)</t>
  </si>
  <si>
    <t xml:space="preserve">BASE CASE</t>
  </si>
  <si>
    <t xml:space="preserve">BEAR CASE</t>
  </si>
  <si>
    <t xml:space="preserve">SCENARIO COMPARISON SUMMARY</t>
  </si>
  <si>
    <t xml:space="preserve">Bull</t>
  </si>
  <si>
    <t xml:space="preserve">Base</t>
  </si>
  <si>
    <t xml:space="preserve">Bear</t>
  </si>
  <si>
    <t xml:space="preserve">FY2027E revenue (US$m)</t>
  </si>
  <si>
    <t xml:space="preserve">FY2027E EBITDA (US$m)</t>
  </si>
  <si>
    <t xml:space="preserve">FY2027E EBITDA margin (%)</t>
  </si>
  <si>
    <t xml:space="preserve">FY2027E net income (US$m)</t>
  </si>
  <si>
    <t xml:space="preserve">FY2027E EPS (fils)</t>
  </si>
  <si>
    <t xml:space="preserve">FY2030E revenue (US$m)</t>
  </si>
  <si>
    <t xml:space="preserve">FY2030E EBITDA (US$m)</t>
  </si>
  <si>
    <t xml:space="preserve">FY2030E EBITDA margin (%)</t>
  </si>
  <si>
    <t xml:space="preserve">FY2030E net income (US$m)</t>
  </si>
  <si>
    <t xml:space="preserve">FY2030E EPS (fils)</t>
  </si>
  <si>
    <t xml:space="preserve">FY2030E free cash flow (US$m)</t>
  </si>
  <si>
    <t xml:space="preserve">FY2030E net debt (US$m)</t>
  </si>
  <si>
    <t xml:space="preserve">FY2030E net debt / EBITDA (x)</t>
  </si>
  <si>
    <t xml:space="preserve">FY2030E LME assumption (US$/t)</t>
  </si>
  <si>
    <t xml:space="preserve">FY2030E Alba production (kt)</t>
  </si>
  <si>
    <t xml:space="preserve">Cumulative EBITDA FY2026E-FY2030E (US$m)</t>
  </si>
  <si>
    <t xml:space="preserve">The bull and bear blocks reuse the base-case depreciation schedule and Dunkerque depreciation, because the capital base is largely committed in every scenario. What varies is price, volume, input cost, tax, capital expenditure, payout and the Dunkerque contribution. Net debt rolls forward from the FY2025 audited position of US$564m and includes the US$2,083m acquisition drawdown net of the Bpifrance contribution in FY2026E. Scenario net income is stated before the non-controlling interest in the Dunkerque holding company, which is under US$8m a year in the base case, so scenario earnings per share sit marginally above the Income Statement tab.</t>
  </si>
  <si>
    <t xml:space="preserve">Aluminium Bahrain B.S.C. (Alba)  |  DCF inputs and valuation bridge (prepared for Task 3)</t>
  </si>
  <si>
    <t xml:space="preserve">US$ millions unless stated. Unlevered free cash flow is derived from the projected income statement, balance sheet and cash flow statement on this workbook. No discount rate or terminal value is applied here; that is Task 3.</t>
  </si>
  <si>
    <t xml:space="preserve">UNLEVERED FREE CASH FLOW</t>
  </si>
  <si>
    <t xml:space="preserve">EBIT / operating profit</t>
  </si>
  <si>
    <t xml:space="preserve">Cash tax rate (%)</t>
  </si>
  <si>
    <t xml:space="preserve">Taxes on EBIT</t>
  </si>
  <si>
    <t xml:space="preserve">NOPAT</t>
  </si>
  <si>
    <t xml:space="preserve">Add: depreciation and amortisation</t>
  </si>
  <si>
    <t xml:space="preserve">Less: capital expenditure</t>
  </si>
  <si>
    <t xml:space="preserve">Less: increase in net working capital</t>
  </si>
  <si>
    <t xml:space="preserve">FY2026E excludes the working capital acquired with Aluminium Dunkerque, which is part of the acquisition consideration rather than an operating movement</t>
  </si>
  <si>
    <t xml:space="preserve">Unlevered FCF margin (%)</t>
  </si>
  <si>
    <t xml:space="preserve">TERMINAL YEAR METRICS (FY2030E)</t>
  </si>
  <si>
    <t xml:space="preserve">FY2030E is a deliberately mid-cycle terminal year: LME at US$2,750/t, the top of the CRU band Alba disclosed, and production at the pre-disruption 1,620kt run rate</t>
  </si>
  <si>
    <t xml:space="preserve">Unlevered free cash flow</t>
  </si>
  <si>
    <t xml:space="preserve">Capital expenditure / depreciation (x)</t>
  </si>
  <si>
    <t xml:space="preserve">LME assumption (US$/t)</t>
  </si>
  <si>
    <t xml:space="preserve">EQUITY VALUE BRIDGE AND MARKET DATA (as at 28 August 2026)</t>
  </si>
  <si>
    <t xml:space="preserve">Gross loans and borrowings, FY2025A (US$m)</t>
  </si>
  <si>
    <t xml:space="preserve">Audited note 13: BD365,816k carrying value</t>
  </si>
  <si>
    <t xml:space="preserve">Less: bank balances and cash, FY2025A (US$m)</t>
  </si>
  <si>
    <t xml:space="preserve">Audited note 7: BD153,748k</t>
  </si>
  <si>
    <t xml:space="preserve">Net debt, FY2025A (US$m)</t>
  </si>
  <si>
    <t xml:space="preserve">Reconciles to the US$564m Alba discloses</t>
  </si>
  <si>
    <t xml:space="preserve">Net debt, FY2026E (US$m)</t>
  </si>
  <si>
    <t xml:space="preserve">After the Aluminium Dunkerque acquisition drawdown</t>
  </si>
  <si>
    <t xml:space="preserve">Non-controlling interest, FY2026E (US$m)</t>
  </si>
  <si>
    <t xml:space="preserve">Bpifrance 6% of the Dunkerque holding company</t>
  </si>
  <si>
    <t xml:space="preserve">Shares outstanding, net of treasury (m)</t>
  </si>
  <si>
    <t xml:space="preserve">Audited note 8: 1,416,047,742 shares at 31 December 2025</t>
  </si>
  <si>
    <t xml:space="preserve">Last close (BHD)</t>
  </si>
  <si>
    <t xml:space="preserve">Bahrain Bourse quote, late August 2026. Task 3 must re-source this from Bloomberg or the Bourse directly for the cover-page market_data binding required by the report contract</t>
  </si>
  <si>
    <t xml:space="preserve">BHD per USD peg</t>
  </si>
  <si>
    <t xml:space="preserve">Fixed peg, USD 1 = BHD 0.376</t>
  </si>
  <si>
    <t xml:space="preserve">Last close (US$)</t>
  </si>
  <si>
    <t xml:space="preserve">Computed</t>
  </si>
  <si>
    <t xml:space="preserve">Market capitalisation (US$m)</t>
  </si>
  <si>
    <t xml:space="preserve">Enterprise value at FY2025A net debt (US$m)</t>
  </si>
  <si>
    <t xml:space="preserve">IMPLIED TRADING MULTIPLES AT THE LAST CLOSE</t>
  </si>
  <si>
    <t xml:space="preserve">EV / EBITDA (x)</t>
  </si>
  <si>
    <t xml:space="preserve">Multiples computed on the market capitalisation at the last close and each year-end net debt. Task 3 replaces the market capitalisation with the derived fair value</t>
  </si>
  <si>
    <t xml:space="preserve">EV / sales (x)</t>
  </si>
  <si>
    <t xml:space="preserve">P / E (x)</t>
  </si>
  <si>
    <t xml:space="preserve">P / book (x)</t>
  </si>
  <si>
    <t xml:space="preserve">Free cash flow yield (%)</t>
  </si>
  <si>
    <t xml:space="preserve">Dividend yield (%)</t>
  </si>
  <si>
    <t xml:space="preserve">EV / tonne of annual capacity (US$/t)</t>
  </si>
  <si>
    <t xml:space="preserve">DISCOUNT RATE BUILDING BLOCKS (analyst inputs for Task 3)</t>
  </si>
  <si>
    <t xml:space="preserve">Risk-free rate, Bahrain sovereign US dollar curve (%)</t>
  </si>
  <si>
    <t xml:space="preserve">To be re-sourced at Task 3 from Bloomberg. Bahrain sovereign USD yields are materially above the US Treasury curve and are the appropriate base for a Bahraini single-asset issuer</t>
  </si>
  <si>
    <t xml:space="preserve">Equity risk premium (%)</t>
  </si>
  <si>
    <t xml:space="preserve">Al Ramz house assumption</t>
  </si>
  <si>
    <t xml:space="preserve">Country / single-asset concentration premium (%)</t>
  </si>
  <si>
    <t xml:space="preserve">Reflects the single-site concentration demonstrated on 28 March 2026 and the Strait of Hormuz chokepoint exposure. Analyst judgement, to be confirmed at Task 3</t>
  </si>
  <si>
    <t xml:space="preserve">Levered beta (x)</t>
  </si>
  <si>
    <t xml:space="preserve">Aluminium producer peer beta, to be re-sourced at Task 3</t>
  </si>
  <si>
    <t xml:space="preserve">Cost of equity (%)</t>
  </si>
  <si>
    <t xml:space="preserve">Risk free plus beta times equity risk premium plus concentration premium</t>
  </si>
  <si>
    <t xml:space="preserve">Pre-tax cost of debt (%)</t>
  </si>
  <si>
    <t xml:space="preserve">Weighted average of the facilities in audited note 13</t>
  </si>
  <si>
    <t xml:space="preserve">Marginal tax rate (%)</t>
  </si>
  <si>
    <t xml:space="preserve">Bahrain Domestic Minimum Top-up Tax, Decree Law 11 of 2024</t>
  </si>
  <si>
    <t xml:space="preserve">After-tax cost of debt (%)</t>
  </si>
  <si>
    <t xml:space="preserve">Pre-tax cost of debt times one less the marginal tax rate</t>
  </si>
  <si>
    <t xml:space="preserve">Target debt / total capital (%)</t>
  </si>
  <si>
    <t xml:space="preserve">Through-cycle gearing, analyst assumption</t>
  </si>
  <si>
    <t xml:space="preserve">WACC (%)</t>
  </si>
  <si>
    <t xml:space="preserve">Weighted average</t>
  </si>
  <si>
    <t xml:space="preserve">Terminal growth rate (%)</t>
  </si>
  <si>
    <t xml:space="preserve">Below long-run global aluminium demand growth, reflecting no modelled New Replacement Line capacity</t>
  </si>
  <si>
    <t xml:space="preserve">SCENARIO UNLEVERED FREE CASH FLOW (for the Task 3 valuation range)</t>
  </si>
  <si>
    <t xml:space="preserve">Bull case free cash flow</t>
  </si>
  <si>
    <t xml:space="preserve">From the Scenarios tab, bull block</t>
  </si>
  <si>
    <t xml:space="preserve">Base case free cash flow</t>
  </si>
  <si>
    <t xml:space="preserve">From the Scenarios tab, base block</t>
  </si>
  <si>
    <t xml:space="preserve">Bear case free cash flow</t>
  </si>
  <si>
    <t xml:space="preserve">From the Scenarios tab, bear block</t>
  </si>
  <si>
    <t xml:space="preserve">Cumulative FY2026E-FY2030E, bull / base / bear (US$m)</t>
  </si>
  <si>
    <t xml:space="preserve">HANDOFF TO TASK 3</t>
  </si>
  <si>
    <t xml:space="preserve">The house rating rule is Over-Weight above +15% upside, Under-Weight below -15% and Equal-Weight in between. At the BHD 0.878 last close carried here, Over-Weight requires a fair value above BHD 1.010 and Under-Weight a fair value below BHD 0.746.</t>
  </si>
  <si>
    <t xml:space="preserve">The market capitalisation and last close on this tab are provisional. The report structure contract requires the cover page to carry a market_data typed binding, so Task 3 must re-source the last close, shares outstanding, average daily volume, free float and the 52-week range from Bloomberg or the Bahrain Bourse directly before the cover is assembled.</t>
  </si>
  <si>
    <t xml:space="preserve">Precedent transaction anchor: Ma'aden acquired 20.62% of Alba from SABIC for BD363.08 million, completed 17 February 2025, implying BHD 1.24 per share and roughly BHD 1.76 billion for the whole equity.</t>
  </si>
  <si>
    <t xml:space="preserve">The single largest information gap remains Aluminium Dunkerque. No revenue, EBITDA or balance sheet has been disclosed. The consolidation switch on the Revenue Model tab allows Task 3 to value Alba standalone and to present the Dunkerque contribution as a separate, clearly labelled increment.</t>
  </si>
  <si>
    <t xml:space="preserve">Peers for the comparable company analysis, per the coverage instruction: SABIC (2010.SR), Emirates Global Aluminium (unlisted, so a private comparable) and Alcoa Corporation (NYSE: AA). Alcoa is the only listed pure-play primary aluminium comparable and reported a FY2025 adjusted EBITDA margin of 15.6% against Alba's 22.8%. Ma'aden (1211.SR) and Norsk Hydro (NHY.OL) should be added as extended comparables.</t>
  </si>
  <si>
    <t xml:space="preserve">No New Replacement Line capacity or capital expenditure is in this model, so any valuation credit for Line 7 must be added as an explicit, separately disclosed option value at Task 3.</t>
  </si>
  <si>
    <t xml:space="preserve">Aluminium Bahrain B.S.C. (Alba)  |  Discounted cash flow valuation</t>
  </si>
  <si>
    <t xml:space="preserve">US$ millions unless stated. Valuation date 31 December 2026, so the derived fair value is a twelve month forward value from the BHD 0.878 close of 26 August 2026. Explicit forecast period FY2027E to FY2030E; FY2026E cash flow is excluded because the FY2026E year-end net debt used in the bridge already contains it. Blue figures are Task 3 analyst inputs with the source in the right-hand column, green link live to the Task 2 tabs, black are formulas.</t>
  </si>
  <si>
    <t xml:space="preserve">1.  COST OF CAPITAL  |  every input re-sourced at Task 3</t>
  </si>
  <si>
    <t xml:space="preserve">Risk-free rate, Bahrain sovereign 10-year USD (%)</t>
  </si>
  <si>
    <t xml:space="preserve">Reoffer yield on the Kingdom of Bahrain US$1.0bn 10-year issue maturing 10 June 2036, priced 10 June 2026 into an order book above US$3.2bn. Correct tenor, correct currency, and it already embeds Bahrain sovereign risk. Task 2 carried a 6.20% placeholder explicitly flagged for re-sourcing at Task 3</t>
  </si>
  <si>
    <t xml:space="preserve">Equity risk premium, mature market (%)</t>
  </si>
  <si>
    <t xml:space="preserve">Al Ramz house assumption. Damodaran carries a 4.23% mature-market premium at the 5 January 2026 vintage, so the house figure is the more conservative of the two</t>
  </si>
  <si>
    <t xml:space="preserve">Peer unlevered beta median is 0.58 on vendor betas and 1.09 on five-year weekly regressions against home indices. Relevered at 25% target gearing that is a 0.75x to 1.40x range. Alba own regression beta is unusable, R-squared 0.001 on a 10% free float. We take the top of the peer range, the conservative choice for value</t>
  </si>
  <si>
    <t xml:space="preserve">Single-asset concentration and liquidity premium (%)</t>
  </si>
  <si>
    <t xml:space="preserve">Single-site concentration demonstrated by the 28 March 2026 strike, Strait of Hormuz dependence for both inbound alumina and outbound metal, a 10% free float and average daily traded value of roughly US$0.4m. Cut from the 2.00% Task 2 placeholder because the sourced sovereign yield now carries the country component the placeholder did not</t>
  </si>
  <si>
    <t xml:space="preserve">COST OF EQUITY (%)</t>
  </si>
  <si>
    <t xml:space="preserve">Weighted average of the facilities in audited note 13, consistent with the 6.00% and 5.75% contractual rates on the Task 2 Balance Sheet debt schedule</t>
  </si>
  <si>
    <t xml:space="preserve">Bahrain Domestic Minimum Top-up Tax under Decree Law 11 of 2024. Bahrain levies no general corporate income tax</t>
  </si>
  <si>
    <t xml:space="preserve">Through-cycle gearing. Current market gearing on post-acquisition net debt is 34.7%, which would give a 12.19% WACC and a higher fair value, so 25% is again the conservative choice</t>
  </si>
  <si>
    <t xml:space="preserve">Used to discount every case in this workbook</t>
  </si>
  <si>
    <t xml:space="preserve">Below long-run global aluminium demand growth of roughly 2.2%. No New Replacement Line capacity is modelled</t>
  </si>
  <si>
    <t xml:space="preserve">Memo: Task 2 placeholder cost of equity (%)</t>
  </si>
  <si>
    <t xml:space="preserve">The Task 2 build of 6.20% plus 1.35 times 5.50% plus 2.00% gave 15.62% and a 12.95% WACC. Re-sourcing the risk-free rate adds 92bp and cutting the concentration premium removes 50bp, a net 43bp increase in the cost of equity</t>
  </si>
  <si>
    <t xml:space="preserve">Memo: ratings-implied Bahrain sovereign yield (%)</t>
  </si>
  <si>
    <t xml:space="preserve">US 10-year Treasury of 4.65% at 27 August 2026 plus the Damodaran adjusted default spread for Bahrain of 4.67% equals 9.32%, against the 7.125% Bahrain actually paid in the primary market in June 2026. The ratings-implied spread is materially wider than the observed market yield, so we use the observed yield. Building the discount rate the Damodaran way instead, on a 7.12% country risk premium, gives a 14.34% WACC and a BHD 0.94 fair value. That is the bear end of the cost-of-capital debate and is disclosed rather than suppressed</t>
  </si>
  <si>
    <t xml:space="preserve">2.  UNLEVERED FREE CASH FLOW, BASE CASE (consolidated: Alba and Aluminium Dunkerque)</t>
  </si>
  <si>
    <t xml:space="preserve">Linked live to the Task 2 DCF Inputs tab, which builds it from the projected income statement, balance sheet and cash flow statement</t>
  </si>
  <si>
    <t xml:space="preserve">Row 15 of the Task 2 DCF Inputs tab</t>
  </si>
  <si>
    <t xml:space="preserve">Discount period (years)</t>
  </si>
  <si>
    <t xml:space="preserve">Full-year discounting from the 31 December 2026 valuation date. No mid-year convention is applied, which is again the conservative choice</t>
  </si>
  <si>
    <t xml:space="preserve">Discount factor at WACC</t>
  </si>
  <si>
    <t xml:space="preserve">Present value of unlevered free cash flow</t>
  </si>
  <si>
    <t xml:space="preserve">3.  TERMINAL VALUE  |  FY2030E IS A DELIBERATELY MID-CYCLE YEAR (LME US$2,750/t, 1,910kt sold)</t>
  </si>
  <si>
    <t xml:space="preserve">The Task 2 model sets FY2030E at US$2,750/t, the top of the CRU mid-cycle band Alba disclosed and below the US$2,800 to US$3,000/t incentive-price floor independent sector work puts on the 2028-2030 cost curve. That makes FY2030E a legitimate normalised base rather than a cycle peak</t>
  </si>
  <si>
    <t xml:space="preserve">Terminal year NOPAT (FY2030E)</t>
  </si>
  <si>
    <t xml:space="preserve">Less: normalised capital expenditure, set equal to depreciation</t>
  </si>
  <si>
    <t xml:space="preserve">Analyst adjustment. Task 2 carries FY2030E capital expenditure at 0.68 times depreciation, defensible in the years just after a curtailment but not as a perpetuity. Normalising costs about BHD 0.26 a share and is disclosed rather than buried</t>
  </si>
  <si>
    <t xml:space="preserve">Less: terminal working capital investment (g x closing net working capital)</t>
  </si>
  <si>
    <t xml:space="preserve">NORMALISED TERMINAL FREE CASH FLOW</t>
  </si>
  <si>
    <t xml:space="preserve">Memo: unadjusted FY2030E unlevered free cash flow</t>
  </si>
  <si>
    <t xml:space="preserve">Shown for reference; not used in the terminal value</t>
  </si>
  <si>
    <t xml:space="preserve">Terminal value at 31 December 2030</t>
  </si>
  <si>
    <t xml:space="preserve">Gordon growth on the normalised terminal free cash flow</t>
  </si>
  <si>
    <t xml:space="preserve">Present value of terminal value</t>
  </si>
  <si>
    <t xml:space="preserve">4.  ENTERPRISE TO EQUITY BRIDGE</t>
  </si>
  <si>
    <t xml:space="preserve">Present value of FY2027E to FY2030E unlevered free cash flow</t>
  </si>
  <si>
    <t xml:space="preserve">ENTERPRISE VALUE</t>
  </si>
  <si>
    <t xml:space="preserve">Terminal value as % of enterprise value</t>
  </si>
  <si>
    <t xml:space="preserve">Quality check: comfortably below the 70% threshold at which an explicit forecast is judged too short</t>
  </si>
  <si>
    <t xml:space="preserve">Less: net debt at 31 December 2026E</t>
  </si>
  <si>
    <t xml:space="preserve">Includes the US$2,083m acquisition facility drawn to fund Aluminium Dunkerque, net of the Bpifrance contribution</t>
  </si>
  <si>
    <t xml:space="preserve">Less: non-controlling interest (Bpifrance 6% of the Dunkerque holding company)</t>
  </si>
  <si>
    <t xml:space="preserve">EQUITY VALUE</t>
  </si>
  <si>
    <t xml:space="preserve">Audited note 8: 1,416,047,742 shares at 31 December 2025. The FY2025 dividend filing implies 1,415,935,470, a 0.008% difference that is immaterial</t>
  </si>
  <si>
    <t xml:space="preserve">FAIR VALUE PER SHARE (US$)</t>
  </si>
  <si>
    <t xml:space="preserve">FAIR VALUE PER SHARE (BHD)</t>
  </si>
  <si>
    <t xml:space="preserve">Translated at the fixed peg, USD 1 = BHD 0.376</t>
  </si>
  <si>
    <t xml:space="preserve">Last close (BHD), 26 August 2026</t>
  </si>
  <si>
    <t xml:space="preserve">Confirmed five ways: last Yahoo daily bar 2026-08-26; the Investing.com JSON payload reads last 0.878 with lastUpdate 2026-08-27; companiesmarketcap US$3.30bn market capitalisation; TradingView P/E 3.932 times EPS 0.2233; and the published consensus upside of 65.15% to a BHD 1.450 target arithmetically requires a 0.878 base. The rendered Investing.com date of August 2024 is a display artefact, and the trailing EPS of 223 fils cannot have existed before the H1 2026 results of 4 August 2026</t>
  </si>
  <si>
    <t xml:space="preserve">Upside / (downside) to the DCF value (%)</t>
  </si>
  <si>
    <t xml:space="preserve">5.  IMPLIED VALUATION AT THE DCF FAIR VALUE  |  SANITY CHECKS</t>
  </si>
  <si>
    <t xml:space="preserve">Implied enterprise value / FY2030E mid-cycle EBITDA (x)</t>
  </si>
  <si>
    <t xml:space="preserve">Peer trailing EV/EBITDA at 28 August 2026 runs from Norsk Hydro 3.89x through Alcoa 5.64x to Century 9.77x</t>
  </si>
  <si>
    <t xml:space="preserve">Implied terminal exit multiple, terminal value / FY2030E EBITDA (x)</t>
  </si>
  <si>
    <t xml:space="preserve">The exit multiple the Gordon growth terminal value implies. Primary aluminium assets transact and trade in a 4x to 6x mid-cycle range, so this sits at the conservative end</t>
  </si>
  <si>
    <t xml:space="preserve">Implied enterprise value per tonne of annual capacity (US$/t)</t>
  </si>
  <si>
    <t xml:space="preserve">1,623kt Alba plus approximately 300kt Aluminium Dunkerque</t>
  </si>
  <si>
    <t xml:space="preserve">Memo: Alba Line 6 build cost, US$3.0bn for 540kt (US$/t)</t>
  </si>
  <si>
    <t xml:space="preserve">Whole-scope Line 6 capital cost including Power Station 5. Alba management separately described the potline scope as below US$4,000 per annual tonne. Century Aluminum new-build US smelter economics imply US$6,667/t on the original 600kt sizing</t>
  </si>
  <si>
    <t xml:space="preserve">Implied enterprise value as % of Line 6 replacement cost</t>
  </si>
  <si>
    <t xml:space="preserve">Implied FY2027E price / earnings (x)</t>
  </si>
  <si>
    <t xml:space="preserve">Alba own trailing P/E band 2021 to 2026: 2.51x, 3.71x, 13.80x, 10.00x, 7.18x and 3.94x today; median 5.45x</t>
  </si>
  <si>
    <t xml:space="preserve">Implied FY2030E mid-cycle price / earnings (x)</t>
  </si>
  <si>
    <t xml:space="preserve">Implied price / FY2026E book value (x)</t>
  </si>
  <si>
    <t xml:space="preserve">Alba own P/B band 2021 to 2026: 0.75x, 0.85x, 0.91x, 0.96x, 0.75x and 0.575x today; median 0.80x. Alba has traded below book in every year of the window</t>
  </si>
  <si>
    <t xml:space="preserve">Implied FY2030E dividend yield at the stated 35% payout (%)</t>
  </si>
  <si>
    <t xml:space="preserve">Alba own dividend yield band 2021 to 2026: 9.96%, 10.79%, 2.55%, 3.47%, 4.89% and 6.16% today; median 5.53%</t>
  </si>
  <si>
    <t xml:space="preserve">Valuation date. 31 December 2026. FY2026E unlevered free cash flow is deliberately excluded from the discounting because the bridge uses FY2026E closing net debt, which already contains it. Discounting FY2026E cash flow and then deducting FY2026E net debt would double count.</t>
  </si>
  <si>
    <t xml:space="preserve">Terminal capital expenditure. The terminal year is normalised so that capital expenditure equals depreciation. This is the single most conservative choice in this DCF and costs roughly BHD 0.26 a share against the model as built.</t>
  </si>
  <si>
    <t xml:space="preserve">New Replacement Line. No value is ascribed to Line 7. Alba has disclosed neither its capacity, where the 380kt and 540kt readings conflict, nor its capital cost, and no board decision is public. Independent sector work already assumes a 540kt Alba potline 7 in GCC supply from 2028, so any Line 7 credit is upside to this number.</t>
  </si>
  <si>
    <t xml:space="preserve">Insurance. No recovery is modelled for the 28 March 2026 attack. The December 2025 rectifier fire recovery sits in FY2026E other income at the level Alba recognised in the reviewed interim accounts.</t>
  </si>
  <si>
    <t xml:space="preserve">Aluminium Dunkerque. This case assumes the acquisition completes in Q4 2026 and carries the Task 2 estimate of US$212m of FY2027E EBITDA decaying to US$114m by FY2030E. The Dunkerque statutory accounts obtained at Task 3 and the standalone case are on the Valuation Summary tab.</t>
  </si>
  <si>
    <t xml:space="preserve">Aluminium Bahrain B.S.C. (Alba)  |  Valuation sensitivity analysis</t>
  </si>
  <si>
    <t xml:space="preserve">Fair value per share in Bahraini dinars unless stated. Every grid is computed live off the DCF tab, so changing an input there reflows every table below. Green is a higher fair value, red is lower. The house rating thresholds at the BHD 0.878 last close are BHD 1.010 for Over-Weight and BHD 0.746 for Under-Weight.</t>
  </si>
  <si>
    <t xml:space="preserve">ANCHORS (live links to the DCF tab)</t>
  </si>
  <si>
    <t xml:space="preserve">Present value of FY2027E to FY2030E unlevered free cash flow (US$m)</t>
  </si>
  <si>
    <t xml:space="preserve">Terminal year NOPAT (US$m)</t>
  </si>
  <si>
    <t xml:space="preserve">Terminal year depreciation and amortisation (US$m)</t>
  </si>
  <si>
    <t xml:space="preserve">Terminal year closing net working capital (US$m)</t>
  </si>
  <si>
    <t xml:space="preserve">FY2030E EBITDA, mid-cycle (US$m)</t>
  </si>
  <si>
    <t xml:space="preserve">Net debt at 31 December 2026E (US$m)</t>
  </si>
  <si>
    <t xml:space="preserve">Non-controlling interest (US$m)</t>
  </si>
  <si>
    <t xml:space="preserve">BHD per US dollar</t>
  </si>
  <si>
    <t xml:space="preserve">Base case WACC (%)</t>
  </si>
  <si>
    <t xml:space="preserve">Base case terminal growth (%)</t>
  </si>
  <si>
    <t xml:space="preserve">TABLE 1.  FAIR VALUE (BHD): WACC vs TERMINAL GROWTH RATE  |  perpetuity growth terminal value</t>
  </si>
  <si>
    <t xml:space="preserve">Each of the four explicit-period cash flows is re-discounted individually at the trial WACC, so every cell is exact rather than approximated. The base case, WACC 13.27% and terminal growth 2.0%, reproduces the DCF tab at BHD 1.056.</t>
  </si>
  <si>
    <t xml:space="preserve">WACC  \  Terminal growth</t>
  </si>
  <si>
    <t xml:space="preserve">TABLE 2.  FAIR VALUE (BHD): WACC vs EXIT EV/EBITDA MULTIPLE ON FY2030E MID-CYCLE EBITDA</t>
  </si>
  <si>
    <t xml:space="preserve">The cyclical convention. Primary aluminium assets transact and trade in a 4x to 6x mid-cycle EV/EBITDA range. The base case Gordon growth terminal value implies 4.05x, so this grid tests the same valuation from the multiple side.</t>
  </si>
  <si>
    <t xml:space="preserve">WACC  \  Exit EV/EBITDA</t>
  </si>
  <si>
    <t xml:space="preserve">TABLE 3.  FAIR VALUE (BHD): MID-CYCLE LME PRICE vs TERMINAL ALBA PRODUCTION  |  the two variables that actually decide this equity</t>
  </si>
  <si>
    <t xml:space="preserve">Terminal EBITDA is flexed by the change in LME against the US$2,750/t base at a 75% net pass-through, because roughly a quarter of an LME move is given back through the alumina price index over time, and by the change in volume at the base case FY2030E EBITDA per tonne. Aluminium Dunkerque sales of 295kt are held constant and added to the Alba figure on the row headers.</t>
  </si>
  <si>
    <t xml:space="preserve">LME pass-through</t>
  </si>
  <si>
    <t xml:space="preserve">TABLE 4.  FAIR VALUE (BHD): ALUMINIUM DUNKERQUE STEADY-STATE EBITDA  |  the largest single unknown in this coverage</t>
  </si>
  <si>
    <t xml:space="preserve">Alba has disclosed no Dunkerque revenue, EBITDA or balance sheet. The Task 2 model carries US$212m in FY2027E decaying to US$114m by FY2030E. This table replaces that with a flat steady-state figure and reflows the consolidated fair value. The US$2.2bn paid is value neutral at about US$376m a year.</t>
  </si>
  <si>
    <t xml:space="preserve">Dunkerque steady-state EBITDA (US$m)</t>
  </si>
  <si>
    <t xml:space="preserve">EBITDA per tonne on 300kt (US$/t)</t>
  </si>
  <si>
    <t xml:space="preserve">Fair value (BHD)</t>
  </si>
  <si>
    <t xml:space="preserve">Upside vs last close (%)</t>
  </si>
  <si>
    <t xml:space="preserve">vs model base case (BHD)</t>
  </si>
  <si>
    <t xml:space="preserve">Reading these tables. The house rating rule is Over-Weight above +15% upside to fair value, Under-Weight below -15% and Equal-Weight in between. Against the BHD 0.878 last close of 26 August 2026 that means fair value above BHD 1.010 for Over-Weight and below BHD 0.746 for Under-Weight. In Table 1 the Under-Weight region is reached only at a WACC above roughly 16%, and the Over-Weight region survives every combination at or below a 13.95% WACC.</t>
  </si>
  <si>
    <t xml:space="preserve">Table 3 is the one that matters. Alba is a price taker with a fixed cost base, so mid-cycle LME and restored volume between them explain almost all of the valuation dispersion. At the model base case of US$2,750/t and 1,620kt the fair value is BHD 1.100. At the bottom of the CRU mid-cycle band, US$2,650/t, and the same volume, it is close to BHD 0.98, which is Equal-Weight territory.</t>
  </si>
  <si>
    <t xml:space="preserve">Table 4 isolates the Aluminium Dunkerque information gap. The consolidated fair value moves by roughly BHD 0.20 a share for every US$100m of steady-state Dunkerque EBITDA. Until Alba discloses a Dunkerque earnings figure this is the widest unforced band in the valuation.</t>
  </si>
  <si>
    <t xml:space="preserve">Aluminium Bahrain B.S.C. (Alba)  |  Comparable companies analysis</t>
  </si>
  <si>
    <t xml:space="preserve">Market data at 27 or 28 August 2026. Enterprise values and EBITDA in US$ millions. LME cash was US$3,212.50/t on 27 August 2026 against a 2025 average of US$2,632/t, so every peer last-twelve-months multiple is measured on a cyclical peak. Multiples are therefore shown on the latest reported full year, which is the sounder basis, with the LTM column alongside for reference.</t>
  </si>
  <si>
    <t xml:space="preserve">A.  PEER SET</t>
  </si>
  <si>
    <t xml:space="preserve">Core smelters are the seven names whose value is predominantly primary aluminium smelting. They are the reference set for Alba. SABIC, Ma'aden, Rio Tinto and South32 are shown for completeness but are not aluminium comparables: SABIC produces no primary aluminium at all and is included only because it held 20.62% of Alba until February 2025. Only four names are genuinely structurally comparable to Alba as a single-asset, non-integrated smelter buying its alumina: EGA, Century Aluminum, China Hongqiao and Press Metal.</t>
  </si>
  <si>
    <t xml:space="preserve">Company</t>
  </si>
  <si>
    <t xml:space="preserve">Ticker</t>
  </si>
  <si>
    <t xml:space="preserve">Core smelter</t>
  </si>
  <si>
    <t xml:space="preserve">Mkt cap (US$bn)</t>
  </si>
  <si>
    <t xml:space="preserve">Net debt (US$bn)</t>
  </si>
  <si>
    <t xml:space="preserve">EV (US$bn)</t>
  </si>
  <si>
    <t xml:space="preserve">FY2025 revenue (US$bn)</t>
  </si>
  <si>
    <t xml:space="preserve">FY2025 EBITDA (US$bn)</t>
  </si>
  <si>
    <t xml:space="preserve">EBITDA margin</t>
  </si>
  <si>
    <t xml:space="preserve">EV/EBITDA FY</t>
  </si>
  <si>
    <t xml:space="preserve">Company results releases and filings for every FY2025 figure; stockanalysis.com for market data at 27 to 28 August 2026. EGA market capitalisation is the midpoint of the reported US$10bn to US$15bn ADX listing valuation and is an indication, not a traded price</t>
  </si>
  <si>
    <t xml:space="preserve">P/E trailing</t>
  </si>
  <si>
    <t xml:space="preserve">P/E forward</t>
  </si>
  <si>
    <t xml:space="preserve">Alcoa</t>
  </si>
  <si>
    <t xml:space="preserve">AA</t>
  </si>
  <si>
    <t xml:space="preserve">Yes</t>
  </si>
  <si>
    <t xml:space="preserve">Emirates Global Aluminium</t>
  </si>
  <si>
    <t xml:space="preserve">unlisted</t>
  </si>
  <si>
    <t xml:space="preserve">Norsk Hydro</t>
  </si>
  <si>
    <t xml:space="preserve">NHY.OL</t>
  </si>
  <si>
    <t xml:space="preserve">Century Aluminum</t>
  </si>
  <si>
    <t xml:space="preserve">CENX</t>
  </si>
  <si>
    <t xml:space="preserve">Vedanta</t>
  </si>
  <si>
    <t xml:space="preserve">VEDL.NS</t>
  </si>
  <si>
    <t xml:space="preserve">Chalco</t>
  </si>
  <si>
    <t xml:space="preserve">2600.HK</t>
  </si>
  <si>
    <t xml:space="preserve">China Hongqiao</t>
  </si>
  <si>
    <t xml:space="preserve">1378.HK</t>
  </si>
  <si>
    <t xml:space="preserve">Press Metal</t>
  </si>
  <si>
    <t xml:space="preserve">PMETAL.KL</t>
  </si>
  <si>
    <t xml:space="preserve">Hindalco</t>
  </si>
  <si>
    <t xml:space="preserve">HINDALCO.NS</t>
  </si>
  <si>
    <t xml:space="preserve">No</t>
  </si>
  <si>
    <t xml:space="preserve">Rio Tinto</t>
  </si>
  <si>
    <t xml:space="preserve">RIO</t>
  </si>
  <si>
    <t xml:space="preserve">South32</t>
  </si>
  <si>
    <t xml:space="preserve">S32.AX</t>
  </si>
  <si>
    <t xml:space="preserve">Ma'aden</t>
  </si>
  <si>
    <t xml:space="preserve">1211.SR</t>
  </si>
  <si>
    <t xml:space="preserve">SABIC</t>
  </si>
  <si>
    <t xml:space="preserve">2010.SR</t>
  </si>
  <si>
    <t xml:space="preserve">B.  STATISTICAL SUMMARY  |  the block the report contract requires</t>
  </si>
  <si>
    <t xml:space="preserve">Statistic</t>
  </si>
  <si>
    <t xml:space="preserve">EV/EBITDA LTM</t>
  </si>
  <si>
    <t xml:space="preserve">Maximum, core smelters (7)</t>
  </si>
  <si>
    <t xml:space="preserve">75th percentile</t>
  </si>
  <si>
    <t xml:space="preserve">MEDIAN, CORE SMELTERS</t>
  </si>
  <si>
    <t xml:space="preserve">25th percentile</t>
  </si>
  <si>
    <t xml:space="preserve">Minimum</t>
  </si>
  <si>
    <t xml:space="preserve">Median, all 12 listed peers</t>
  </si>
  <si>
    <t xml:space="preserve">Memo: Alcoa / South32 AliGroup, disclosed through-the-cycle EBITDA multiple</t>
  </si>
  <si>
    <t xml:space="preserve">South32 announcement of 1 July 2026, verbatim: the implied enterprise value of up to US$5.6bn "implies a through-the-cycle EBITDA multiple of ~6.8x", footnoted to average consolidated underlying EBITDA of about US$0.8bn over FY21 to FY25. This is a completed arms-length negotiation on a directly comparable asset package and is stronger evidence than any broker multiple table</t>
  </si>
  <si>
    <t xml:space="preserve">Memo: EGA implied EV/EBITDA at the reported ADX listing valuation range</t>
  </si>
  <si>
    <t xml:space="preserve">US$10bn to US$15bn reported valuation plus derived net debt of US$3.41bn, over 2025 underlying EBITDA of US$2.53bn. EGA is the closest structural comparable to Alba by geography, power source and product mix</t>
  </si>
  <si>
    <t xml:space="preserve">Memo: Alba at the 26 August 2026 close, on FY2025A EBITDA of US$1,078m</t>
  </si>
  <si>
    <t xml:space="preserve">Memo: Alcoa / South32 AliGroup, implied multiple on CY2025 disclosed segment EBITDA</t>
  </si>
  <si>
    <t xml:space="preserve">South32 disclosed CY2025 segment EBITDA of about US$0.9bn: Worsley and Boddington US$0.6bn, Hillside US$0.2bn, Brazil US$0.1bn. Against an implied enterprise value of up to US$5.6bn that is roughly 6.2x spot-year EBITDA, against 6.8x on the through-the-cycle FY21 to FY25 average. The two readings bracket our 6.60x reference multiple from either side and are the strongest corroboration available that a mid-cycle primary aluminium multiple sits in the low-to-mid 6x range</t>
  </si>
  <si>
    <t xml:space="preserve">C.  APPLYING THE MULTIPLE  |  the reference multiple and the explicit Alba discount</t>
  </si>
  <si>
    <t xml:space="preserve">Alba cannot be valued on a peer multiple applied to FY2026E or FY2027E EBITDA. FY2026E is distorted by a 44% collapse in production and FY2027E by a metal price still carrying a disruption premium. The multiple is therefore applied to mid-cycle earnings power, which the Task 2 model puts at FY2030E: LME US$2,750/t, 1,910kt sold, EBITDA US$1,264m. Applying a full-cycle multiple to an above-mid-cycle EBITDA would double count the cycle, which is the standard trap in cyclical comparables.</t>
  </si>
  <si>
    <t xml:space="preserve">Reference multiple: core smelter median 6.59x and the Alcoa/South32 negotiated 6.80x</t>
  </si>
  <si>
    <t xml:space="preserve">Single-asset concentration: one site, struck by a missile on 28 March 2026</t>
  </si>
  <si>
    <t xml:space="preserve">Strait of Hormuz dependence for inbound alumina and outbound metal</t>
  </si>
  <si>
    <t xml:space="preserve">Sovereign: Bahrain at B2 negative and B stable, downgraded by S&amp;P and Fitch in the last year</t>
  </si>
  <si>
    <t xml:space="preserve">Liquidity: 10% free float, average daily traded value of about US$0.4m</t>
  </si>
  <si>
    <t xml:space="preserve">Offset: cost position, gas contracted at US$4.50/MMBtu, 74% value-added mix, single-site scale</t>
  </si>
  <si>
    <t xml:space="preserve">Offset: FY2025 EBITDA margin of 22.8% vs Alcoa 15.5%, Norsk Hydro 13.9%, Century 16.8%, Chalco 16.3%</t>
  </si>
  <si>
    <t xml:space="preserve">Net discount to the peer reference multiple</t>
  </si>
  <si>
    <t xml:space="preserve">APPLIED MULTIPLE</t>
  </si>
  <si>
    <t xml:space="preserve">Applied to</t>
  </si>
  <si>
    <t xml:space="preserve">Multiple (x)</t>
  </si>
  <si>
    <t xml:space="preserve">Implied EV (US$m)</t>
  </si>
  <si>
    <t xml:space="preserve">Less net debt FY2026E</t>
  </si>
  <si>
    <t xml:space="preserve">Less NCI</t>
  </si>
  <si>
    <t xml:space="preserve">Equity value (US$m)</t>
  </si>
  <si>
    <t xml:space="preserve">Upside</t>
  </si>
  <si>
    <t xml:space="preserve">Mid-cycle EBITDA at the applied multiple</t>
  </si>
  <si>
    <t xml:space="preserve">Mid-cycle EBITDA at 4.0x, near the peer low (low case)</t>
  </si>
  <si>
    <t xml:space="preserve">Mid-cycle EBITDA at a 15% discount (high)</t>
  </si>
  <si>
    <t xml:space="preserve">Mid-cycle EBITDA at the undiscounted peer median</t>
  </si>
  <si>
    <t xml:space="preserve">D.  CROSS-CHECKS</t>
  </si>
  <si>
    <t xml:space="preserve">Metric</t>
  </si>
  <si>
    <t xml:space="preserve">Core smelter median</t>
  </si>
  <si>
    <t xml:space="preserve">Alba at BHD 0.878</t>
  </si>
  <si>
    <t xml:space="preserve">Alba at our BHD 1.15 fair value</t>
  </si>
  <si>
    <t xml:space="preserve">Comment</t>
  </si>
  <si>
    <t xml:space="preserve">EV / mid-cycle EBITDA</t>
  </si>
  <si>
    <t xml:space="preserve">6.59x</t>
  </si>
  <si>
    <t xml:space="preserve">3.85x</t>
  </si>
  <si>
    <t xml:space="preserve">4.82x</t>
  </si>
  <si>
    <t xml:space="preserve">Alba trades at a 42% discount to the peer median on normalised earnings; we carry a 27% discount</t>
  </si>
  <si>
    <t xml:space="preserve">P/E, trailing</t>
  </si>
  <si>
    <t xml:space="preserve">10.61x</t>
  </si>
  <si>
    <t xml:space="preserve">3.94x</t>
  </si>
  <si>
    <t xml:space="preserve">5.16x</t>
  </si>
  <si>
    <t xml:space="preserve">Alba own six-year band is 2.51x to 13.80x with a 5.45x median</t>
  </si>
  <si>
    <t xml:space="preserve">P/E, one year forward</t>
  </si>
  <si>
    <t xml:space="preserve">8.55x</t>
  </si>
  <si>
    <t xml:space="preserve">3.82x</t>
  </si>
  <si>
    <t xml:space="preserve">5.00x</t>
  </si>
  <si>
    <t xml:space="preserve">Alba forward is FY2027E EPS of 230.0 fils</t>
  </si>
  <si>
    <t xml:space="preserve">P / book</t>
  </si>
  <si>
    <t xml:space="preserve">2.08x</t>
  </si>
  <si>
    <t xml:space="preserve">0.575x</t>
  </si>
  <si>
    <t xml:space="preserve">0.73x</t>
  </si>
  <si>
    <t xml:space="preserve">Alba has traded below book in every year since 2021; own band 0.575x to 0.96x</t>
  </si>
  <si>
    <t xml:space="preserve">Dividend yield</t>
  </si>
  <si>
    <t xml:space="preserve">3.30%</t>
  </si>
  <si>
    <t xml:space="preserve">6.16%</t>
  </si>
  <si>
    <t xml:space="preserve">5.2%</t>
  </si>
  <si>
    <t xml:space="preserve">On the stated 35% payout and FY2030E mid-cycle earnings</t>
  </si>
  <si>
    <t xml:space="preserve">FY2025 EBITDA margin</t>
  </si>
  <si>
    <t xml:space="preserve">15.5% to 16.8% Western</t>
  </si>
  <si>
    <t xml:space="preserve">22.8%</t>
  </si>
  <si>
    <t xml:space="preserve">Alba out-earns every Western peer on margin. The discount is about risk and liquidity, not asset quality</t>
  </si>
  <si>
    <t xml:space="preserve">EV per tonne of capacity</t>
  </si>
  <si>
    <t xml:space="preserve">US$6,201/t</t>
  </si>
  <si>
    <t xml:space="preserve">US$2,634/t</t>
  </si>
  <si>
    <t xml:space="preserve">US$3,167/t</t>
  </si>
  <si>
    <t xml:space="preserve">Peer median excludes Press Metal. Chinese producers anchor the low end at US$3,527 to US$5,522/t</t>
  </si>
  <si>
    <t xml:space="preserve">Why the LTM column is not used. The gap between a core-smelter FY2025 median of 6.59x and an LTM median of 4.59x is entirely a numerator and denominator timing effect: LME at US$3,212/t against a 2025 average of US$2,632/t inflates every peer trailing EBITDA. Applying an LTM multiple to a mid-cycle EBITDA would understate value; applying an LTM multiple to an LTM EBITDA would overstate it.</t>
  </si>
  <si>
    <t xml:space="preserve">Data cautions carried from the research. Vedanta demerged on 1 May 2026 and its 2.91x is the least reliable figure in the set. Norsk Hydro and South32 vendor LTM EBITDA figures are not credible against their own reported numbers and the FY basis is used for both. Alcoa is acquiring South32 aluminium assets, so both sets of multiples change on completion. Press Metal rests on secondary sources throughout and its capacity is unverified.</t>
  </si>
  <si>
    <t xml:space="preserve">Forward EV/EBITDA is not disclosed for any peer. Consensus EBITDA estimates for FY2026 and FY2027 are behind paywalls on every service reached, so forward P/E is the only consistent forward multiple available. This is recorded as a gap rather than filled with an estimate.</t>
  </si>
  <si>
    <t xml:space="preserve">Aluminium Bahrain B.S.C. (Alba)  |  Precedent transactions, asset value and replacement cost</t>
  </si>
  <si>
    <t xml:space="preserve">Enterprise values in US$ millions. EUR translated at 1.1641, the ECB fixing of 27 August 2026. This tab answers two questions: what has been paid for primary aluminium capacity, and what does the market currently pay for Alba against those benchmarks.</t>
  </si>
  <si>
    <t xml:space="preserve">A.  ALUMINIUM DUNKERQUE  |  THE ONLY DIRECTLY RELEVANT PRECEDENT, AND ALBA IS THE BUYER</t>
  </si>
  <si>
    <t xml:space="preserve">ADIF (Aluminium Dunkerque Industries France, SIREN 834746661) is the holding company being sold. Its consolidated statutory accounts are filed with the French registry and were obtained at Task 3. This closes what Tasks 1 and 2 both flagged as the single largest information gap in the coverage: Alba, American Industrial Partners and Bpifrance have all disclosed nothing on Dunkerque earnings.</t>
  </si>
  <si>
    <t xml:space="preserve">ADIF consolidated (statutory)</t>
  </si>
  <si>
    <t xml:space="preserve">FY2022</t>
  </si>
  <si>
    <t xml:space="preserve">FY2023</t>
  </si>
  <si>
    <t xml:space="preserve">FY2024</t>
  </si>
  <si>
    <t xml:space="preserve">FY2025</t>
  </si>
  <si>
    <t xml:space="preserve">4-year average</t>
  </si>
  <si>
    <t xml:space="preserve">Source / note</t>
  </si>
  <si>
    <t xml:space="preserve">Pappers.fr, sourcing INPI / RNE statutory filings. Comptes consolides for FY2025 filed 23 April 2026. The underlying PDFs are paywalled; these are the registry summary tables. WebFetch returns HTTP 403 on pappers.fr, curl with a browser user agent succeeds</t>
  </si>
  <si>
    <t xml:space="preserve">Revenue (EURm)</t>
  </si>
  <si>
    <t xml:space="preserve">EBITDA (EBE, EURm)</t>
  </si>
  <si>
    <t xml:space="preserve">EBIT (EURm)</t>
  </si>
  <si>
    <t xml:space="preserve">Net income (EURm)</t>
  </si>
  <si>
    <t xml:space="preserve">Equity (EURm)</t>
  </si>
  <si>
    <t xml:space="preserve">Financial debt (EURm)</t>
  </si>
  <si>
    <t xml:space="preserve">Cash (EURm)</t>
  </si>
  <si>
    <t xml:space="preserve">Net debt (EURm)</t>
  </si>
  <si>
    <t xml:space="preserve">What Alba is paying, and what it implies</t>
  </si>
  <si>
    <t xml:space="preserve">Basis</t>
  </si>
  <si>
    <t xml:space="preserve">EBITDA (EURm)</t>
  </si>
  <si>
    <t xml:space="preserve">US$/t on 300kt</t>
  </si>
  <si>
    <t xml:space="preserve">Implied EV/EBITDA (x)</t>
  </si>
  <si>
    <t xml:space="preserve">vs Alba mid-cycle US$662/t</t>
  </si>
  <si>
    <t xml:space="preserve">Note</t>
  </si>
  <si>
    <t xml:space="preserve">FY2025 outturn</t>
  </si>
  <si>
    <t xml:space="preserve">FY2024 outturn</t>
  </si>
  <si>
    <t xml:space="preserve">FY2022 energy-crisis trough</t>
  </si>
  <si>
    <t xml:space="preserve">Consideration (enterprise value, US$m)</t>
  </si>
  <si>
    <t xml:space="preserve">Alba announcement, 2 June 2026. EU antitrust clearance obtained May 2026; French foreign direct investment and EU Foreign Subsidies Regulation approvals outstanding at 28 August 2026</t>
  </si>
  <si>
    <t xml:space="preserve">Enterprise value per annual tonne (US$/t)</t>
  </si>
  <si>
    <t xml:space="preserve">Equity / enterprise value bridge cross-check (US$m)</t>
  </si>
  <si>
    <t xml:space="preserve">Bpifrance EUR 100m for 6% implies EUR 1,667m of equity for the holding company; add ADIF consolidated net debt of EUR 201m at 31 December 2025 and the total is EUR 1,868m. That lands within 1.2% of the disclosed US$2,200m and confirms the headline is an enterprise value, which is the basis every multiple on this tab is computed on</t>
  </si>
  <si>
    <t xml:space="preserve">EBITDA required for the price to be value neutral to Alba shareholders (US$m a year)</t>
  </si>
  <si>
    <t xml:space="preserve">Solved so that the present value of Dunkerque unlevered free cash flow equals the US$2.2bn paid, at the 13.27% WACC and 2% terminal growth on the DCF tab, with capital expenditure of US$60m a year and depreciation of US$86.7m. Equivalent to US$1,283 per tonne, roughly 1.9 times Alba own mid-cycle EBITDA per tonne</t>
  </si>
  <si>
    <t xml:space="preserve">The power reset  |  why FY2024-25 Dunkerque margins are not a run rate</t>
  </si>
  <si>
    <t xml:space="preserve">Aluminium Dunkerque draws 450 MW continuously, roughly 3.94 TWh a year, and is France's largest single industrial electricity consumer and EDF's largest French client. The ARENH regulated price of EUR 42/MWh expired on 31 December 2025. A 10-year EDF supply contract signed 22 July 2025 runs from 1 January 2026 covering "une part substantielle des besoins", with an undisclosed significant upfront advance to EDF and balanced risk-sharing mechanisms. The price is not disclosed. The successor regime to ARENH is expected to be stable but on average higher. The FY2024 and FY2025 EBITDA of EUR 317m and EUR 292m were both earned under ARENH.</t>
  </si>
  <si>
    <t xml:space="preserve">New EDF price (EUR/MWh)</t>
  </si>
  <si>
    <t xml:space="preserve">Delta vs ARENH</t>
  </si>
  <si>
    <t xml:space="preserve">Annual cost delta (EURm)</t>
  </si>
  <si>
    <t xml:space="preserve">FY2025 EBITDA rebased (EURm)</t>
  </si>
  <si>
    <t xml:space="preserve">US$m</t>
  </si>
  <si>
    <t xml:space="preserve">Upper bound on the earnings impact: the EDF contract covers a substantial part, not all, of the load, and the undisclosed upfront advance lowers the ongoing unit price. At EUR 65 to 75/MWh the rebased EBITDA of US$188m to US$234m brackets the US$212m the Task 2 model assumes for FY2027E, which validates that estimate</t>
  </si>
  <si>
    <t xml:space="preserve">B.  THE MA'ADEN PURCHASE OF SABIC'S 20.62% OF ALBA  |  A STRATEGIC PRICE FOR ALBA ITSELF</t>
  </si>
  <si>
    <t xml:space="preserve">Completion date</t>
  </si>
  <si>
    <t xml:space="preserve">17 February 2025</t>
  </si>
  <si>
    <t xml:space="preserve">Argaam, February 2025, the SABIC completion announcement of 24 February 2025, and the Bahrain Bourse major-shareholder register, which now shows Ma'aden at 20.62% in place of SABIC Industrial Investments. SICO separately reported the value as approximately US$1bn, consistent with BHD 363.08m at the peg</t>
  </si>
  <si>
    <t xml:space="preserve">Stake acquired (shares, m)</t>
  </si>
  <si>
    <t xml:space="preserve">Stake acquired (%)</t>
  </si>
  <si>
    <t xml:space="preserve">Consideration (BHDm)</t>
  </si>
  <si>
    <t xml:space="preserve">Consideration (US$m)</t>
  </si>
  <si>
    <t xml:space="preserve">Implied price per share (BHD)</t>
  </si>
  <si>
    <t xml:space="preserve">This is the single most useful external mark on Alba equity. It was struck by a strategic buyer with full diligence access, and Ma'aden subsequently recognised a one-off bargain purchase gain of US$0.2bn in Q4 2025, meaning the buyer's own assessment of the fair value of Alba's net assets exceeded the price it paid</t>
  </si>
  <si>
    <t xml:space="preserve">Implied 100% equity value (BHDm)</t>
  </si>
  <si>
    <t xml:space="preserve">Implied 100% equity value (US$m)</t>
  </si>
  <si>
    <t xml:space="preserve">Plus: Alba net debt at 31 December 2024 (US$m)</t>
  </si>
  <si>
    <t xml:space="preserve">Implied enterprise value (US$m)</t>
  </si>
  <si>
    <t xml:space="preserve">Implied EV / FY2024 EBITDA of US$939m (x)</t>
  </si>
  <si>
    <t xml:space="preserve">Implied EV per tonne of Alba capacity, 1,623kt (US$/t)</t>
  </si>
  <si>
    <t xml:space="preserve">Memo: implied equity value per tonne (US$/t)</t>
  </si>
  <si>
    <t xml:space="preserve">Implied P/E on FY2024 EPS of 130 fils (x)</t>
  </si>
  <si>
    <t xml:space="preserve">Implied P/B on FY2024 book value of BHD 1.3587 (x)</t>
  </si>
  <si>
    <t xml:space="preserve">Premium of the transaction price to the 26 August 2026 close (%)</t>
  </si>
  <si>
    <t xml:space="preserve">Two qualifications. It was a non-controlling 20.62% block with no control premium, and it was struck at an LME of US$2,660/t before the March 2026 disruption. Note also that the Alba and Ma'aden merger discussions of September 2024 were mutually terminated on 13 January 2025 with no exchange ratio or valuation ever disclosed, so the abandoned merger yields no usable mark</t>
  </si>
  <si>
    <t xml:space="preserve">C.  SECTOR PRECEDENT TRANSACTIONS, 2015 TO 2026</t>
  </si>
  <si>
    <t xml:space="preserve">The LME column is the World Bank Pink Sheet monthly average for the month of announcement, except the Dunkerque and Alba marks where the daily LME cash settlement was obtainable and is used</t>
  </si>
  <si>
    <t xml:space="preserve">Announced</t>
  </si>
  <si>
    <t xml:space="preserve">Target</t>
  </si>
  <si>
    <t xml:space="preserve">Acquirer</t>
  </si>
  <si>
    <t xml:space="preserve">Capacity (ktpa Al)</t>
  </si>
  <si>
    <t xml:space="preserve">EV or equity per annual tonne (US$/t)</t>
  </si>
  <si>
    <t xml:space="preserve">LME at announcement (US$/t)</t>
  </si>
  <si>
    <t xml:space="preserve">Basis and note</t>
  </si>
  <si>
    <t xml:space="preserve">Jun 2026</t>
  </si>
  <si>
    <t xml:space="preserve">Aluminium Dunkerque (100%)</t>
  </si>
  <si>
    <t xml:space="preserve">Alba, with Bpifrance at 6%</t>
  </si>
  <si>
    <t xml:space="preserve">EV basis. 6.47x FY2025 statutory EBITDA. Pending French FDI and EU Foreign Subsidies Regulation clearance at 28 August 2026</t>
  </si>
  <si>
    <t xml:space="preserve">South32 aluminium value chain</t>
  </si>
  <si>
    <t xml:space="preserve">US$4.1bn upfront plus a contingent value right of up to US$750m; South32 frames it as up to US$5.6bn. The only transaction in the whole 2015 to 2026 set that discloses a multiple: 6.8x through-the-cycle EBITDA and about 6.2x CY2025 EBITDA of roughly US$0.9bn. Bundled aluminium and alumina, so no clean per-tonne read</t>
  </si>
  <si>
    <t xml:space="preserve">Jan 2026</t>
  </si>
  <si>
    <t xml:space="preserve">Companhia Brasileira de Aluminio (68.6%)</t>
  </si>
  <si>
    <t xml:space="preserve">Chalco 67% / Rio Tinto 33%</t>
  </si>
  <si>
    <t xml:space="preserve">Equity basis on the implied 100% equity value of US$1,316m. BRL 10.50 a share, a 21.2% premium to the 20-day VWAP. Bundled with 800kt of alumina, bauxite and 1.6 GW of renewable power, so overstated for the smelter alone. Not completed at 28 August 2026</t>
  </si>
  <si>
    <t xml:space="preserve">Jul 2025</t>
  </si>
  <si>
    <t xml:space="preserve">Ma'aden Aluminium and MBAC (25.1%)</t>
  </si>
  <si>
    <t xml:space="preserve">Ma'aden, from Alcoa</t>
  </si>
  <si>
    <t xml:space="preserve">Equity basis. Consideration at close, up from about US$1.1bn at signing on the Ma'aden share price. Bundled with a 1.8 Mt alumina refinery and a 5 Mdmt bauxite mine, so materially overstated as a smelter mark</t>
  </si>
  <si>
    <t xml:space="preserve">Feb 2025</t>
  </si>
  <si>
    <t xml:space="preserve">Alba (20.62% strategic block)</t>
  </si>
  <si>
    <t xml:space="preserve">Ma'aden, from SABIC</t>
  </si>
  <si>
    <t xml:space="preserve">EV basis on the implied 100% enterprise value of US$5,773m. 6.15x FY2024 EBITDA, 9.54x earnings, 0.91x book. On an equity-only basis the figure is US$2,885/t</t>
  </si>
  <si>
    <t xml:space="preserve">Oct 2021</t>
  </si>
  <si>
    <t xml:space="preserve">Aluminium Dunkerque (control)</t>
  </si>
  <si>
    <t xml:space="preserve">American Industrial Partners</t>
  </si>
  <si>
    <t xml:space="preserve">Foreclosure on pledged shares after payment default, not a purchase. Consideration deferred to an independent Luxembourg valuation and never published</t>
  </si>
  <si>
    <t xml:space="preserve">Feb 2018</t>
  </si>
  <si>
    <t xml:space="preserve">Rio Tinto ISAL, Iceland</t>
  </si>
  <si>
    <t xml:space="preserve">Norsk Hydro (aborted)</t>
  </si>
  <si>
    <t xml:space="preserve">A real bid, withdrawn September 2018. Rio Tinto booked a US$123m impairment because the offer sat below carrying value, and fully impaired the ISAL unit in 2020</t>
  </si>
  <si>
    <t xml:space="preserve">Jan 2018</t>
  </si>
  <si>
    <t xml:space="preserve">Dunkerque smelter</t>
  </si>
  <si>
    <t xml:space="preserve">Liberty House (GFG)</t>
  </si>
  <si>
    <t xml:space="preserve">EV basis. Rio Tinto disposal completed 14 December 2018 against a held-for-sale carrying value of US$355m</t>
  </si>
  <si>
    <t xml:space="preserve">Nov 2016</t>
  </si>
  <si>
    <t xml:space="preserve">Rio Tinto Lochaber</t>
  </si>
  <si>
    <t xml:space="preserve">SIMEC / Liberty House</t>
  </si>
  <si>
    <t xml:space="preserve">Excluded from the statistics. The consideration is overwhelmingly for 105 MW of hydro and a 100,000 acre estate, not for the 47kt smelter</t>
  </si>
  <si>
    <t xml:space="preserve">2016</t>
  </si>
  <si>
    <t xml:space="preserve">New Madrid smelter, Chapter 11</t>
  </si>
  <si>
    <t xml:space="preserve">Magnitude 7 Metals</t>
  </si>
  <si>
    <t xml:space="preserve">Excluded from the statistics. Distressed bankruptcy sale, secondary-sourced</t>
  </si>
  <si>
    <t xml:space="preserve">2017 to 2020</t>
  </si>
  <si>
    <t xml:space="preserve">Portovesme, Aldel, Aluminij Mostar, Ormet</t>
  </si>
  <si>
    <t xml:space="preserve">Various</t>
  </si>
  <si>
    <t xml:space="preserve">Excluded. Distressed European and US smelters have consistently cleared at or near zero with no disclosed consideration, each accompanied by a state or sponsor commitment rather than a price. Aldel and Ormet subsequently failed. This is the tail risk in any smelter without a locked-in power contract, which is precisely what distinguishes Dunkerque</t>
  </si>
  <si>
    <t xml:space="preserve">Statistical summary: enterprise value per annual tonne of smelter capacity</t>
  </si>
  <si>
    <t xml:space="preserve">Computed on the three completed transactions with a disclosed price and an unambiguous smelter denominator on an enterprise value basis: Dunkerque 2018, Alba 2025 and Dunkerque 2026. Lochaber, New Madrid, the distressed cluster, the bundled Ma'aden and CBA deals and the aborted ISAL bid are all excluded for the reasons in the notes column above</t>
  </si>
  <si>
    <t xml:space="preserve">Maximum</t>
  </si>
  <si>
    <t xml:space="preserve">Alba / Aluminium Dunkerque, June 2026, at an LME of US$3,855/t</t>
  </si>
  <si>
    <t xml:space="preserve">MEDIAN</t>
  </si>
  <si>
    <t xml:space="preserve">Ma'aden purchase of the SABIC block in Alba, February 2025, at an LME of US$2,660/t</t>
  </si>
  <si>
    <t xml:space="preserve">Rio Tinto / Liberty, Dunkerque, December 2018, at an LME of US$1,908/t</t>
  </si>
  <si>
    <t xml:space="preserve">Mean</t>
  </si>
  <si>
    <t xml:space="preserve">Memo: Alba today, on 1,923kt of consolidated capacity</t>
  </si>
  <si>
    <t xml:space="preserve">The market prices Alba below every completed transaction in the set except the 2018 distressed-cycle low</t>
  </si>
  <si>
    <t xml:space="preserve">The dispersion between the minimum and maximum is 4.1x against only a 2.0x move in the metal price over the same eight years. Per-tonne comparables are a range check here, not a primary valuation method, which is why this section carries only a 10% weight in the blended fair value. Note also that two of the three observations are the same asset, Aluminium Dunkerque, which has changed hands four times since 2018 with the price disclosed only twice.</t>
  </si>
  <si>
    <t xml:space="preserve">D.  REPLACEMENT COST  |  WHAT IT WOULD COST TO BUILD ALBA TODAY</t>
  </si>
  <si>
    <t xml:space="preserve">Benchmark</t>
  </si>
  <si>
    <t xml:space="preserve">Source</t>
  </si>
  <si>
    <t xml:space="preserve">Capital cost (US$m)</t>
  </si>
  <si>
    <t xml:space="preserve">Capacity (ktpa)</t>
  </si>
  <si>
    <t xml:space="preserve">US$ per annual tonne</t>
  </si>
  <si>
    <t xml:space="preserve">Scope</t>
  </si>
  <si>
    <t xml:space="preserve">Line 6 expansion, 2016 to 2019</t>
  </si>
  <si>
    <t xml:space="preserve">Alba</t>
  </si>
  <si>
    <t xml:space="preserve">Brownfield potline plus Power Station 5</t>
  </si>
  <si>
    <t xml:space="preserve">Alba Bahrain Bourse announcement, 29 May 2016. US$3.5bn was the original bankable feasibility estimate for the same scope, later cut to about US$3.0bn; both figures include the power station. Alba separately described the potline-only scope as below US$4,000 per annual tonne, which is not reconcilable with the whole-scope figure and is recorded as a conflict</t>
  </si>
  <si>
    <t xml:space="preserve">Inola greenfield, announced January 2026</t>
  </si>
  <si>
    <t xml:space="preserve">EGA 60% / Century 40%</t>
  </si>
  <si>
    <t xml:space="preserve">Greenfield US smelter, original 600kt sizing</t>
  </si>
  <si>
    <t xml:space="preserve">Capacity was subsequently raised to 750kt without a restated capital cost. On the 750kt scope the same capex implies US$5,333/t, which mixes an old capex with a new capacity and is the weaker reading</t>
  </si>
  <si>
    <t xml:space="preserve">Indonesian greenfield benchmark</t>
  </si>
  <si>
    <t xml:space="preserve">Adaro Kalimantan Phase 1</t>
  </si>
  <si>
    <t xml:space="preserve">Greenfield smelter including 1,100 MW captive coal power</t>
  </si>
  <si>
    <t xml:space="preserve">IEEFA, October 2023. The smelter-only element was reported at US$728m, or US$1,456 per annual tonne, but that is a secondary attribution and is low confidence</t>
  </si>
  <si>
    <t xml:space="preserve">Best-case industry estimate</t>
  </si>
  <si>
    <t xml:space="preserve">Aluminum Association, May 2025</t>
  </si>
  <si>
    <t xml:space="preserve">Best case per the industry body</t>
  </si>
  <si>
    <t xml:space="preserve">"In a best-case scenario, analysts believe US$4,000 to 5,000 per metric ton of installed primary aluminum capacity is achievable. Recent projects in Russia, Indonesia and Iran have come in at US$5,000 to 6,000 per ton. The most conservative estimates are US$8,000 or higher"</t>
  </si>
  <si>
    <t xml:space="preserve">Conservative US greenfield</t>
  </si>
  <si>
    <t xml:space="preserve">Aluminum Association / AGBI</t>
  </si>
  <si>
    <t xml:space="preserve">US greenfield, conservative</t>
  </si>
  <si>
    <t xml:space="preserve">"Capital costs for a modern 750,000 metric ton smelter can reach US$6 billion or more." AGBI applied the same US$8,000/t figure directly to the Alba and Dunkerque transaction in June 2026</t>
  </si>
  <si>
    <t xml:space="preserve">CRU separately puts Chinese domestic capital intensity slightly under US$1,400 per annual tonne, Indonesia at around US$2,800, and much of the world ex-China at up to US$6,000. The spread from US$1,400 to US$8,000 is a real economic range driven by power cost, labour and permitting, not a data error. Alba sits nearer the low end on a Bahrain cost basis; Dunkerque nearer the high end on an EU basis.</t>
  </si>
  <si>
    <t xml:space="preserve">E.  WHERE ALBA TRADES AGAINST ALL OF THIS</t>
  </si>
  <si>
    <t xml:space="preserve">Price (BHD)</t>
  </si>
  <si>
    <t xml:space="preserve">Net debt (US$m)</t>
  </si>
  <si>
    <t xml:space="preserve">Enterprise value (US$m)</t>
  </si>
  <si>
    <t xml:space="preserve">EV per annual tonne (US$/t)</t>
  </si>
  <si>
    <t xml:space="preserve">% of Line 6 replacement cost</t>
  </si>
  <si>
    <t xml:space="preserve">Market, 26 August 2026, Alba standalone</t>
  </si>
  <si>
    <t xml:space="preserve">On FY2025A net debt of US$564m and 1,623kt</t>
  </si>
  <si>
    <t xml:space="preserve">Market, 26 August 2026, post-Dunkerque</t>
  </si>
  <si>
    <t xml:space="preserve">On FY2026E net debt of US$1,759m and 1,923kt of consolidated capacity</t>
  </si>
  <si>
    <t xml:space="preserve">Ma'aden block, February 2025</t>
  </si>
  <si>
    <t xml:space="preserve">On FY2024 net debt of US$1,103m</t>
  </si>
  <si>
    <t xml:space="preserve">Our DCF fair value</t>
  </si>
  <si>
    <t xml:space="preserve">From the DCF tab</t>
  </si>
  <si>
    <t xml:space="preserve">Our blended fair value</t>
  </si>
  <si>
    <t xml:space="preserve">From the Valuation Summary tab</t>
  </si>
  <si>
    <t xml:space="preserve">Consensus target, BHD 1.450</t>
  </si>
  <si>
    <t xml:space="preserve">Four analysts, Strong Buy consensus, range BHD 1.30 to 1.75</t>
  </si>
  <si>
    <t xml:space="preserve">Conclusion from this tab. At the 26 August 2026 close Alba trades at US$2,634 per annual tonne of consolidated capacity, roughly 47% of the US$5,556 whole-scope cost of its own Line 6 and roughly 36% of what Alba itself has just agreed to pay for Aluminium Dunkerque. A buyer of the shares is acquiring existing capacity at about a third of the price the company is paying for new capacity.</t>
  </si>
  <si>
    <t xml:space="preserve">That gap is not automatically a valuation argument. Replacement cost caps what an asset is worth only when the returns justify rebuilding, and a smelter earning below its cost of capital is worth less than its steel. It does put a floor under the downside case, and it explains why a strategic buyer paid BHD 1.240 for a fifth of the company eighteen months ago and then booked a bargain purchase gain on the trade.</t>
  </si>
  <si>
    <t xml:space="preserve">Why the weight is only 10%. The transaction set contains just three completed deals with a clean price and denominator, two of which are the same asset. All three were struck at radically different points in the cycle, so the 4.1x dispersion in enterprise value per tonne reflects the LME on the announcement date more than anything about the assets themselves.</t>
  </si>
  <si>
    <t xml:space="preserve">Aluminium Bahrain B.S.C. (Alba)  |  Blended fair value, rating and football field</t>
  </si>
  <si>
    <t xml:space="preserve">Fair value per share in Bahraini dinars. Last close BHD 0.878 on 26 August 2026. House rating rule: Over-Weight above +15% upside to fair value, Under-Weight below -15%, Equal-Weight in between.</t>
  </si>
  <si>
    <t xml:space="preserve">A.  BLENDED FAIR VALUE</t>
  </si>
  <si>
    <t xml:space="preserve">Method</t>
  </si>
  <si>
    <t xml:space="preserve">Low</t>
  </si>
  <si>
    <t xml:space="preserve">High</t>
  </si>
  <si>
    <t xml:space="preserve">Weight</t>
  </si>
  <si>
    <t xml:space="preserve">Contribution</t>
  </si>
  <si>
    <t xml:space="preserve">Upside at base</t>
  </si>
  <si>
    <t xml:space="preserve">Rationale for the weight</t>
  </si>
  <si>
    <t xml:space="preserve">Discounted cash flow, Task 2 model as built</t>
  </si>
  <si>
    <t xml:space="preserve">Highest weight. It is the only method that prices the four-year volume recovery rather than assuming it away. Low and high are the WACC 14.95%/g 1.0% and WACC 11.27%/g 3.0% corners of sensitivity Table 1</t>
  </si>
  <si>
    <t xml:space="preserve">Discounted cash flow, Dunkerque marked to its statutory accounts</t>
  </si>
  <si>
    <t xml:space="preserve">Same DCF with Aluminium Dunkerque at a US$220m steady-state EBITDA rather than the Task 2 decay to US$114m. Low is the FY2022 energy-crisis trough of US$121m, high is the FY2025 outturn of US$340m</t>
  </si>
  <si>
    <t xml:space="preserve">Scenario probability-weighted DCF</t>
  </si>
  <si>
    <t xml:space="preserve">Bull 20%, base 55%, bear 25%, exit multiple terminal at 5.0x. Low and high are the 4.0x and 5.5x exit multiples and alternative probability weightings</t>
  </si>
  <si>
    <t xml:space="preserve">Trading comparables on mid-cycle EBITDA</t>
  </si>
  <si>
    <t xml:space="preserve">Core smelter median 6.59x and the Alcoa/South32 negotiated 6.80x, less an explicit 30% Alba discount, giving 4.62x. Low is 4.0x, near the peer floor; high is a 15% discount at 5.61x</t>
  </si>
  <si>
    <t xml:space="preserve">Alba own historical multiples</t>
  </si>
  <si>
    <t xml:space="preserve">Five-year P/B mean 0.843x on FY2026E book, P/E median 7.18x on mid-cycle earnings, dividend yield median 4.89% on mid-cycle dividends</t>
  </si>
  <si>
    <t xml:space="preserve">Precedent transactions and asset value</t>
  </si>
  <si>
    <t xml:space="preserve">Median of the three clean primary aluminium transactions at US$3,559 per annual tonne, which is the Ma'aden purchase of the SABIC stake. Low is the CRU Indonesian replacement benchmark, high the Aluminum Association best case</t>
  </si>
  <si>
    <t xml:space="preserve">BLENDED FAIR VALUE</t>
  </si>
  <si>
    <t xml:space="preserve">FAIR VALUE, ROUNDED</t>
  </si>
  <si>
    <t xml:space="preserve">Rounded to the nearest fil for publication</t>
  </si>
  <si>
    <t xml:space="preserve">Upside to fair value (%)</t>
  </si>
  <si>
    <t xml:space="preserve">Over-Weight threshold, fair value above (BHD)</t>
  </si>
  <si>
    <t xml:space="preserve">Under-Weight threshold, fair value below (BHD)</t>
  </si>
  <si>
    <t xml:space="preserve">RATING</t>
  </si>
  <si>
    <t xml:space="preserve">Computed from the house rule, not asserted. The rating changes automatically if any input above changes</t>
  </si>
  <si>
    <t xml:space="preserve">C.  FOOTBALL FIELD  |  data for the chart slot</t>
  </si>
  <si>
    <t xml:space="preserve">Band</t>
  </si>
  <si>
    <t xml:space="preserve">Low (BHD)</t>
  </si>
  <si>
    <t xml:space="preserve">High (BHD)</t>
  </si>
  <si>
    <t xml:space="preserve">Base (BHD)</t>
  </si>
  <si>
    <t xml:space="preserve">Width</t>
  </si>
  <si>
    <t xml:space="preserve">Discounted cash flow</t>
  </si>
  <si>
    <t xml:space="preserve">DCF, Dunkerque at statutory accounts</t>
  </si>
  <si>
    <t xml:space="preserve">Scenario weighted DCF</t>
  </si>
  <si>
    <t xml:space="preserve">Trading comparables</t>
  </si>
  <si>
    <t xml:space="preserve">Historical own multiples</t>
  </si>
  <si>
    <t xml:space="preserve">Sell-side consensus target range</t>
  </si>
  <si>
    <t xml:space="preserve">52-week trading range</t>
  </si>
  <si>
    <t xml:space="preserve">52-week low shown as the Investing.com and TradingView figure of 0.715; the Yahoo daily series over the same window gives 0.755. Both readings are preserved</t>
  </si>
  <si>
    <t xml:space="preserve">Reference line: last close</t>
  </si>
  <si>
    <t xml:space="preserve">Reference line: blended fair value</t>
  </si>
  <si>
    <t xml:space="preserve">D.  IMPLIED VALUATION AT THE FAIR VALUE</t>
  </si>
  <si>
    <t xml:space="preserve">Market capitalisation at fair value (US$m)</t>
  </si>
  <si>
    <t xml:space="preserve">Enterprise value at FY2026E net debt (US$m)</t>
  </si>
  <si>
    <t xml:space="preserve">EV / FY2030E mid-cycle EBITDA (x)</t>
  </si>
  <si>
    <t xml:space="preserve">EV per tonne of annual capacity (US$/t)</t>
  </si>
  <si>
    <t xml:space="preserve">EV as % of the Alba Line 6 whole-scope build cost of US$5,556/t</t>
  </si>
  <si>
    <t xml:space="preserve">P/E on FY2027E EPS (x)</t>
  </si>
  <si>
    <t xml:space="preserve">P/E on FY2030E mid-cycle EPS (x)</t>
  </si>
  <si>
    <t xml:space="preserve">P / FY2026E book value (x)</t>
  </si>
  <si>
    <t xml:space="preserve">FY2030E dividend yield at the stated 35% payout (%)</t>
  </si>
  <si>
    <t xml:space="preserve">Premium / (discount) to the Ma'aden transaction price of BHD 1.240 (%)</t>
  </si>
  <si>
    <t xml:space="preserve">Premium / (discount) to the consensus mean target of BHD 1.450 (%)</t>
  </si>
  <si>
    <t xml:space="preserve">We sit deliberately below consensus. Four analysts carry a Strong Buy with a mean target of BHD 1.450 and a range of BHD 1.30 to 1.75. Our fair value is 21% below the consensus mean because we apply a Bahrain sovereign cost of equity of 16.05%, normalise terminal capital expenditure to depreciation, and give no credit for the New Replacement Line</t>
  </si>
  <si>
    <t xml:space="preserve">How to read this. Six methods produce a base-case range of BHD 1.051 to BHD 1.318, a spread of only 25%, which is unusually tight for a cyclical single-asset producer in a war zone. The methods agree because they are anchored on the same two facts: Alba trades at 0.575 times book and 3.9 times trailing earnings, and a strategic buyer paid BHD 1.240 for a fifth of the company eighteen months ago.</t>
  </si>
  <si>
    <t xml:space="preserve">The rating is Over-Weight, but it is not a comfortable one. The Over-Weight threshold is BHD 1.010 and three of the six methods sit within 5% of it. The rating fails if the WACC is above 13.68%, if mid-cycle LME settles below about US$2,650/t at 1,620kt of restored production, or if the Aluminium Dunkerque acquisition closes and the asset earns less than roughly US$100m of EBITDA a year.</t>
  </si>
  <si>
    <t xml:space="preserve">What is deliberately excluded. No value for the New Replacement Line, no insurance recovery on the 28 March 2026 attack, no credit for a Saudi cross-listing or a free-float increase, and no control premium. Each is a real call option on the equity and each is upside to this number.</t>
  </si>
</sst>
</file>

<file path=xl/styles.xml><?xml version="1.0" encoding="utf-8"?>
<styleSheet xmlns="http://schemas.openxmlformats.org/spreadsheetml/2006/main">
  <numFmts count="14">
    <numFmt numFmtId="164" formatCode="General"/>
    <numFmt numFmtId="165" formatCode="#,##0;\(#,##0\)"/>
    <numFmt numFmtId="166" formatCode="0.0%"/>
    <numFmt numFmtId="167" formatCode="0.0"/>
    <numFmt numFmtId="168" formatCode="#,##0.0;\(#,##0.0\)"/>
    <numFmt numFmtId="169" formatCode="0.00%"/>
    <numFmt numFmtId="170" formatCode="0"/>
    <numFmt numFmtId="171" formatCode="0.00"/>
    <numFmt numFmtId="172" formatCode="#,##0.0"/>
    <numFmt numFmtId="173" formatCode="0.000"/>
    <numFmt numFmtId="174" formatCode="#,##0"/>
    <numFmt numFmtId="175" formatCode="0.00\x"/>
    <numFmt numFmtId="176" formatCode="0.00000"/>
    <numFmt numFmtId="177" formatCode="0.0000"/>
  </numFmts>
  <fonts count="28">
    <font>
      <sz val="11"/>
      <color theme="1"/>
      <name val="Calibri"/>
      <family val="2"/>
      <charset val="1"/>
    </font>
    <font>
      <sz val="10"/>
      <name val="Arial"/>
      <family val="0"/>
    </font>
    <font>
      <sz val="10"/>
      <name val="Arial"/>
      <family val="0"/>
    </font>
    <font>
      <sz val="10"/>
      <name val="Arial"/>
      <family val="0"/>
    </font>
    <font>
      <b val="true"/>
      <sz val="13"/>
      <color rgb="FF1F4E79"/>
      <name val="Times New Roman"/>
      <family val="0"/>
      <charset val="1"/>
    </font>
    <font>
      <i val="true"/>
      <sz val="9"/>
      <color rgb="FF5B6B7A"/>
      <name val="Times New Roman"/>
      <family val="0"/>
      <charset val="1"/>
    </font>
    <font>
      <b val="true"/>
      <sz val="10"/>
      <color rgb="FFFFFFFF"/>
      <name val="Times New Roman"/>
      <family val="0"/>
      <charset val="1"/>
    </font>
    <font>
      <b val="true"/>
      <sz val="9"/>
      <color rgb="FFFFFFFF"/>
      <name val="Times New Roman"/>
      <family val="0"/>
      <charset val="1"/>
    </font>
    <font>
      <b val="true"/>
      <sz val="10"/>
      <color rgb="FF9A6B23"/>
      <name val="Times New Roman"/>
      <family val="0"/>
      <charset val="1"/>
    </font>
    <font>
      <i val="true"/>
      <sz val="8"/>
      <color rgb="FF5B6B7A"/>
      <name val="Times New Roman"/>
      <family val="0"/>
      <charset val="1"/>
    </font>
    <font>
      <sz val="10"/>
      <color rgb="FF000000"/>
      <name val="Times New Roman"/>
      <family val="0"/>
      <charset val="1"/>
    </font>
    <font>
      <sz val="10"/>
      <color rgb="FF0000CC"/>
      <name val="Times New Roman"/>
      <family val="0"/>
      <charset val="1"/>
    </font>
    <font>
      <i val="true"/>
      <sz val="10"/>
      <color rgb="FF000000"/>
      <name val="Times New Roman"/>
      <family val="0"/>
      <charset val="1"/>
    </font>
    <font>
      <b val="true"/>
      <sz val="10"/>
      <color rgb="FF000000"/>
      <name val="Times New Roman"/>
      <family val="0"/>
      <charset val="1"/>
    </font>
    <font>
      <b val="true"/>
      <sz val="10"/>
      <color rgb="FF0000CC"/>
      <name val="Times New Roman"/>
      <family val="0"/>
      <charset val="1"/>
    </font>
    <font>
      <i val="true"/>
      <sz val="10"/>
      <color rgb="FF0000CC"/>
      <name val="Times New Roman"/>
      <family val="0"/>
      <charset val="1"/>
    </font>
    <font>
      <sz val="10"/>
      <color rgb="FFC00000"/>
      <name val="Times New Roman"/>
      <family val="0"/>
      <charset val="1"/>
    </font>
    <font>
      <b val="true"/>
      <sz val="10"/>
      <color rgb="FF006100"/>
      <name val="Times New Roman"/>
      <family val="0"/>
      <charset val="1"/>
    </font>
    <font>
      <sz val="10"/>
      <color rgb="FF006100"/>
      <name val="Times New Roman"/>
      <family val="0"/>
      <charset val="1"/>
    </font>
    <font>
      <sz val="11"/>
      <color rgb="FF006100"/>
      <name val="Times New Roman"/>
      <family val="0"/>
      <charset val="1"/>
    </font>
    <font>
      <i val="true"/>
      <sz val="10"/>
      <color rgb="FF006100"/>
      <name val="Times New Roman"/>
      <family val="0"/>
      <charset val="1"/>
    </font>
    <font>
      <i val="true"/>
      <sz val="10"/>
      <color rgb="FFC00000"/>
      <name val="Times New Roman"/>
      <family val="0"/>
      <charset val="1"/>
    </font>
    <font>
      <b val="true"/>
      <sz val="10"/>
      <color rgb="FFC00000"/>
      <name val="Times New Roman"/>
      <family val="0"/>
      <charset val="1"/>
    </font>
    <font>
      <b val="true"/>
      <sz val="9"/>
      <color rgb="FF5B6B7A"/>
      <name val="Times New Roman"/>
      <family val="0"/>
      <charset val="1"/>
    </font>
    <font>
      <sz val="9"/>
      <color rgb="FF5B6B7A"/>
      <name val="Times New Roman"/>
      <family val="0"/>
      <charset val="1"/>
    </font>
    <font>
      <sz val="8"/>
      <color rgb="FF5B6B7A"/>
      <name val="Times New Roman"/>
      <family val="0"/>
      <charset val="1"/>
    </font>
    <font>
      <sz val="9"/>
      <color rgb="FF000000"/>
      <name val="Times New Roman"/>
      <family val="0"/>
      <charset val="1"/>
    </font>
    <font>
      <b val="true"/>
      <sz val="12"/>
      <color rgb="FF1F4E79"/>
      <name val="Times New Roman"/>
      <family val="0"/>
      <charset val="1"/>
    </font>
  </fonts>
  <fills count="6">
    <fill>
      <patternFill patternType="none"/>
    </fill>
    <fill>
      <patternFill patternType="gray125"/>
    </fill>
    <fill>
      <patternFill patternType="solid">
        <fgColor rgb="FF1F4E79"/>
        <bgColor rgb="FF003366"/>
      </patternFill>
    </fill>
    <fill>
      <patternFill patternType="solid">
        <fgColor rgb="FF9A6B23"/>
        <bgColor rgb="FF808080"/>
      </patternFill>
    </fill>
    <fill>
      <patternFill patternType="solid">
        <fgColor rgb="FFF6F3EE"/>
        <bgColor rgb="FFEAF1F8"/>
      </patternFill>
    </fill>
    <fill>
      <patternFill patternType="solid">
        <fgColor rgb="FFEAF1F8"/>
        <bgColor rgb="FFF6F3EE"/>
      </patternFill>
    </fill>
  </fills>
  <borders count="2">
    <border diagonalUp="false" diagonalDown="false">
      <left/>
      <right/>
      <top/>
      <bottom/>
      <diagonal/>
    </border>
    <border diagonalUp="false" diagonalDown="false">
      <left/>
      <right/>
      <top style="thin">
        <color rgb="FFBFBFBF"/>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4" fontId="7" fillId="3" borderId="0" xfId="0" applyFont="true" applyBorder="false" applyAlignment="true" applyProtection="false">
      <alignment horizontal="general" vertical="bottom" textRotation="0" wrapText="false" indent="0" shrinkToFit="false"/>
      <protection locked="true" hidden="false"/>
    </xf>
    <xf numFmtId="164" fontId="8" fillId="4" borderId="0" xfId="0" applyFont="true" applyBorder="false" applyAlignment="true" applyProtection="false">
      <alignment horizontal="general" vertical="bottom" textRotation="0" wrapText="false" indent="0" shrinkToFit="false"/>
      <protection locked="true" hidden="false"/>
    </xf>
    <xf numFmtId="164" fontId="0" fillId="4" borderId="0" xfId="0" applyFont="false" applyBorder="false" applyAlignment="true" applyProtection="false">
      <alignment horizontal="general" vertical="bottom" textRotation="0" wrapText="false" indent="0" shrinkToFit="false"/>
      <protection locked="true" hidden="false"/>
    </xf>
    <xf numFmtId="164" fontId="9" fillId="4"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5" fontId="11" fillId="0" borderId="0" xfId="0" applyFont="true" applyBorder="false" applyAlignment="true" applyProtection="false">
      <alignment horizontal="right" vertical="bottom" textRotation="0" wrapText="false" indent="0" shrinkToFit="false"/>
      <protection locked="true" hidden="false"/>
    </xf>
    <xf numFmtId="165" fontId="11" fillId="5" borderId="0" xfId="0" applyFont="true" applyBorder="fals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1" shrinkToFit="false"/>
      <protection locked="true" hidden="false"/>
    </xf>
    <xf numFmtId="166" fontId="10" fillId="0" borderId="0" xfId="0" applyFont="true" applyBorder="false" applyAlignment="true" applyProtection="false">
      <alignment horizontal="right" vertical="bottom" textRotation="0" wrapText="false" indent="0" shrinkToFit="false"/>
      <protection locked="true" hidden="false"/>
    </xf>
    <xf numFmtId="166" fontId="10" fillId="5"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1" shrinkToFit="false"/>
      <protection locked="true" hidden="false"/>
    </xf>
    <xf numFmtId="167" fontId="12" fillId="0" borderId="0" xfId="0" applyFont="true" applyBorder="false" applyAlignment="true" applyProtection="false">
      <alignment horizontal="right" vertical="bottom" textRotation="0" wrapText="false" indent="0" shrinkToFit="false"/>
      <protection locked="true" hidden="false"/>
    </xf>
    <xf numFmtId="167" fontId="12" fillId="5" borderId="0" xfId="0" applyFont="true" applyBorder="false" applyAlignment="true" applyProtection="false">
      <alignment horizontal="right"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8" fontId="14" fillId="0" borderId="0" xfId="0" applyFont="true" applyBorder="false" applyAlignment="true" applyProtection="false">
      <alignment horizontal="right" vertical="bottom" textRotation="0" wrapText="false" indent="0" shrinkToFit="false"/>
      <protection locked="true" hidden="false"/>
    </xf>
    <xf numFmtId="168" fontId="14" fillId="5" borderId="0" xfId="0" applyFont="true" applyBorder="false" applyAlignment="true" applyProtection="false">
      <alignment horizontal="right" vertical="bottom" textRotation="0" wrapText="false" indent="0" shrinkToFit="false"/>
      <protection locked="true" hidden="false"/>
    </xf>
    <xf numFmtId="166" fontId="12" fillId="0" borderId="0" xfId="0" applyFont="true" applyBorder="false" applyAlignment="true" applyProtection="false">
      <alignment horizontal="right" vertical="bottom" textRotation="0" wrapText="false" indent="0" shrinkToFit="false"/>
      <protection locked="true" hidden="false"/>
    </xf>
    <xf numFmtId="166" fontId="12" fillId="5" borderId="0" xfId="0" applyFont="true" applyBorder="false" applyAlignment="true" applyProtection="false">
      <alignment horizontal="right" vertical="bottom" textRotation="0" wrapText="false" indent="0" shrinkToFit="false"/>
      <protection locked="true" hidden="false"/>
    </xf>
    <xf numFmtId="166" fontId="11" fillId="0" borderId="0" xfId="0" applyFont="true" applyBorder="false" applyAlignment="true" applyProtection="false">
      <alignment horizontal="right" vertical="bottom" textRotation="0" wrapText="false" indent="0" shrinkToFit="false"/>
      <protection locked="true" hidden="false"/>
    </xf>
    <xf numFmtId="166" fontId="11" fillId="5" borderId="0" xfId="0" applyFont="true" applyBorder="false" applyAlignment="true" applyProtection="false">
      <alignment horizontal="right" vertical="bottom" textRotation="0" wrapText="false" indent="0" shrinkToFit="false"/>
      <protection locked="true" hidden="false"/>
    </xf>
    <xf numFmtId="168" fontId="10" fillId="0" borderId="0" xfId="0" applyFont="true" applyBorder="false" applyAlignment="true" applyProtection="false">
      <alignment horizontal="right" vertical="bottom" textRotation="0" wrapText="false" indent="0" shrinkToFit="false"/>
      <protection locked="true" hidden="false"/>
    </xf>
    <xf numFmtId="168" fontId="10" fillId="5" borderId="0" xfId="0" applyFont="true" applyBorder="false" applyAlignment="true" applyProtection="false">
      <alignment horizontal="right" vertical="bottom" textRotation="0" wrapText="false" indent="0" shrinkToFit="false"/>
      <protection locked="true" hidden="false"/>
    </xf>
    <xf numFmtId="164" fontId="12" fillId="0" borderId="1" xfId="0" applyFont="true" applyBorder="true" applyAlignment="true" applyProtection="false">
      <alignment horizontal="general" vertical="bottom" textRotation="0" wrapText="false" indent="1" shrinkToFit="false"/>
      <protection locked="true" hidden="false"/>
    </xf>
    <xf numFmtId="168" fontId="12" fillId="0" borderId="1" xfId="0" applyFont="true" applyBorder="true" applyAlignment="true" applyProtection="false">
      <alignment horizontal="right" vertical="bottom" textRotation="0" wrapText="false" indent="0" shrinkToFit="false"/>
      <protection locked="true" hidden="false"/>
    </xf>
    <xf numFmtId="168" fontId="12" fillId="5" borderId="1" xfId="0" applyFont="true" applyBorder="true" applyAlignment="true" applyProtection="false">
      <alignment horizontal="right" vertical="bottom" textRotation="0" wrapText="false" indent="0" shrinkToFit="false"/>
      <protection locked="true" hidden="false"/>
    </xf>
    <xf numFmtId="165" fontId="13" fillId="0" borderId="0" xfId="0" applyFont="true" applyBorder="false" applyAlignment="true" applyProtection="false">
      <alignment horizontal="right" vertical="bottom" textRotation="0" wrapText="false" indent="0" shrinkToFit="false"/>
      <protection locked="true" hidden="false"/>
    </xf>
    <xf numFmtId="165" fontId="13" fillId="5" borderId="0" xfId="0" applyFont="true" applyBorder="false" applyAlignment="true" applyProtection="false">
      <alignment horizontal="right" vertical="bottom" textRotation="0" wrapText="false" indent="0" shrinkToFit="false"/>
      <protection locked="true" hidden="false"/>
    </xf>
    <xf numFmtId="165" fontId="12" fillId="0" borderId="1" xfId="0" applyFont="true" applyBorder="true" applyAlignment="true" applyProtection="false">
      <alignment horizontal="right" vertical="bottom" textRotation="0" wrapText="false" indent="0" shrinkToFit="false"/>
      <protection locked="true" hidden="false"/>
    </xf>
    <xf numFmtId="165" fontId="12" fillId="5" borderId="1" xfId="0" applyFont="true" applyBorder="true" applyAlignment="true" applyProtection="false">
      <alignment horizontal="right" vertical="bottom" textRotation="0" wrapText="false" indent="0" shrinkToFit="false"/>
      <protection locked="true" hidden="false"/>
    </xf>
    <xf numFmtId="168" fontId="13" fillId="0" borderId="0" xfId="0" applyFont="true" applyBorder="false" applyAlignment="true" applyProtection="false">
      <alignment horizontal="right" vertical="bottom" textRotation="0" wrapText="false" indent="0" shrinkToFit="false"/>
      <protection locked="true" hidden="false"/>
    </xf>
    <xf numFmtId="168" fontId="13" fillId="5" borderId="0" xfId="0" applyFont="true" applyBorder="false" applyAlignment="true" applyProtection="false">
      <alignment horizontal="right" vertical="bottom" textRotation="0" wrapText="false" indent="0" shrinkToFit="false"/>
      <protection locked="true" hidden="false"/>
    </xf>
    <xf numFmtId="168" fontId="11" fillId="0" borderId="0" xfId="0" applyFont="true" applyBorder="false" applyAlignment="true" applyProtection="false">
      <alignment horizontal="right" vertical="bottom" textRotation="0" wrapText="false" indent="0" shrinkToFit="false"/>
      <protection locked="true" hidden="false"/>
    </xf>
    <xf numFmtId="168" fontId="11" fillId="5" borderId="0" xfId="0" applyFont="true" applyBorder="false" applyAlignment="true" applyProtection="false">
      <alignment horizontal="right" vertical="bottom" textRotation="0" wrapText="false" indent="0" shrinkToFit="false"/>
      <protection locked="true" hidden="false"/>
    </xf>
    <xf numFmtId="168" fontId="12" fillId="0" borderId="0" xfId="0" applyFont="true" applyBorder="false" applyAlignment="true" applyProtection="false">
      <alignment horizontal="right" vertical="bottom" textRotation="0" wrapText="false" indent="0" shrinkToFit="false"/>
      <protection locked="true" hidden="false"/>
    </xf>
    <xf numFmtId="169" fontId="12" fillId="0" borderId="1" xfId="0" applyFont="true" applyBorder="true" applyAlignment="true" applyProtection="false">
      <alignment horizontal="right" vertical="bottom"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2" shrinkToFit="false"/>
      <protection locked="true" hidden="false"/>
    </xf>
    <xf numFmtId="166" fontId="15" fillId="5" borderId="0" xfId="0" applyFont="true" applyBorder="false" applyAlignment="true" applyProtection="false">
      <alignment horizontal="right" vertical="bottom" textRotation="0" wrapText="false" indent="0" shrinkToFit="false"/>
      <protection locked="true" hidden="false"/>
    </xf>
    <xf numFmtId="168" fontId="12" fillId="5" borderId="0" xfId="0" applyFont="true" applyBorder="false" applyAlignment="true" applyProtection="false">
      <alignment horizontal="right" vertical="bottom" textRotation="0" wrapText="false" indent="0" shrinkToFit="false"/>
      <protection locked="true" hidden="false"/>
    </xf>
    <xf numFmtId="166" fontId="12" fillId="0" borderId="1" xfId="0" applyFont="true" applyBorder="true" applyAlignment="true" applyProtection="false">
      <alignment horizontal="right" vertical="bottom" textRotation="0" wrapText="false" indent="0" shrinkToFit="false"/>
      <protection locked="true" hidden="false"/>
    </xf>
    <xf numFmtId="166" fontId="12" fillId="5" borderId="1" xfId="0" applyFont="true" applyBorder="true" applyAlignment="true" applyProtection="false">
      <alignment horizontal="right"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70" fontId="11" fillId="0" borderId="0" xfId="0" applyFont="true" applyBorder="false" applyAlignment="true" applyProtection="false">
      <alignment horizontal="right" vertical="bottom" textRotation="0" wrapText="false" indent="0" shrinkToFit="false"/>
      <protection locked="true" hidden="false"/>
    </xf>
    <xf numFmtId="170" fontId="11" fillId="5" borderId="0" xfId="0" applyFont="true" applyBorder="false" applyAlignment="true" applyProtection="false">
      <alignment horizontal="right" vertical="bottom" textRotation="0" wrapText="false" indent="0"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5" fontId="10" fillId="5" borderId="0" xfId="0" applyFont="true" applyBorder="false" applyAlignment="true" applyProtection="false">
      <alignment horizontal="right" vertical="bottom" textRotation="0" wrapText="false" indent="0" shrinkToFit="false"/>
      <protection locked="true" hidden="false"/>
    </xf>
    <xf numFmtId="171" fontId="11" fillId="0" borderId="0" xfId="0" applyFont="true" applyBorder="false" applyAlignment="true" applyProtection="false">
      <alignment horizontal="right" vertical="bottom" textRotation="0" wrapText="false" indent="0" shrinkToFit="false"/>
      <protection locked="true" hidden="false"/>
    </xf>
    <xf numFmtId="171" fontId="11" fillId="5" borderId="0" xfId="0" applyFont="true" applyBorder="false" applyAlignment="true" applyProtection="false">
      <alignment horizontal="right" vertical="bottom" textRotation="0" wrapText="false" indent="0" shrinkToFit="false"/>
      <protection locked="true" hidden="false"/>
    </xf>
    <xf numFmtId="167" fontId="11" fillId="0" borderId="0" xfId="0" applyFont="true" applyBorder="false" applyAlignment="true" applyProtection="false">
      <alignment horizontal="right" vertical="bottom" textRotation="0" wrapText="false" indent="0" shrinkToFit="false"/>
      <protection locked="true" hidden="false"/>
    </xf>
    <xf numFmtId="167" fontId="11" fillId="5" borderId="0" xfId="0" applyFont="true" applyBorder="false" applyAlignment="true" applyProtection="false">
      <alignment horizontal="right" vertical="bottom" textRotation="0" wrapText="false" indent="0" shrinkToFit="false"/>
      <protection locked="true" hidden="false"/>
    </xf>
    <xf numFmtId="168" fontId="17" fillId="0" borderId="0" xfId="0" applyFont="true" applyBorder="false" applyAlignment="true" applyProtection="false">
      <alignment horizontal="right" vertical="bottom" textRotation="0" wrapText="false" indent="0" shrinkToFit="false"/>
      <protection locked="true" hidden="false"/>
    </xf>
    <xf numFmtId="168" fontId="17" fillId="5" borderId="0" xfId="0" applyFont="true" applyBorder="false" applyAlignment="true" applyProtection="false">
      <alignment horizontal="right" vertical="bottom" textRotation="0" wrapText="false" indent="0" shrinkToFit="false"/>
      <protection locked="true" hidden="false"/>
    </xf>
    <xf numFmtId="165" fontId="12" fillId="0" borderId="0" xfId="0" applyFont="true" applyBorder="false" applyAlignment="true" applyProtection="false">
      <alignment horizontal="right" vertical="bottom" textRotation="0" wrapText="false" indent="0" shrinkToFit="false"/>
      <protection locked="true" hidden="false"/>
    </xf>
    <xf numFmtId="165" fontId="12" fillId="5" borderId="0" xfId="0" applyFont="true" applyBorder="false" applyAlignment="true" applyProtection="false">
      <alignment horizontal="right" vertical="bottom" textRotation="0" wrapText="false" indent="0" shrinkToFit="false"/>
      <protection locked="true" hidden="false"/>
    </xf>
    <xf numFmtId="168" fontId="18" fillId="0" borderId="0" xfId="0" applyFont="true" applyBorder="false" applyAlignment="true" applyProtection="false">
      <alignment horizontal="right" vertical="bottom" textRotation="0" wrapText="false" indent="0" shrinkToFit="false"/>
      <protection locked="true" hidden="false"/>
    </xf>
    <xf numFmtId="168" fontId="18" fillId="5" borderId="0" xfId="0" applyFont="true" applyBorder="false" applyAlignment="true" applyProtection="false">
      <alignment horizontal="right"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bottom" textRotation="0" wrapText="false" indent="2" shrinkToFit="false"/>
      <protection locked="true" hidden="false"/>
    </xf>
    <xf numFmtId="168" fontId="15" fillId="0" borderId="0" xfId="0" applyFont="true" applyBorder="false" applyAlignment="true" applyProtection="false">
      <alignment horizontal="right" vertical="bottom" textRotation="0" wrapText="false" indent="0" shrinkToFit="false"/>
      <protection locked="true" hidden="false"/>
    </xf>
    <xf numFmtId="172" fontId="11" fillId="0" borderId="0" xfId="0" applyFont="true" applyBorder="false" applyAlignment="true" applyProtection="false">
      <alignment horizontal="right" vertical="bottom" textRotation="0" wrapText="false" indent="0" shrinkToFit="false"/>
      <protection locked="true" hidden="false"/>
    </xf>
    <xf numFmtId="172" fontId="11" fillId="5" borderId="0" xfId="0" applyFont="true" applyBorder="false" applyAlignment="true" applyProtection="false">
      <alignment horizontal="right" vertical="bottom" textRotation="0" wrapText="false" indent="0" shrinkToFit="false"/>
      <protection locked="true" hidden="false"/>
    </xf>
    <xf numFmtId="173" fontId="13" fillId="0" borderId="0" xfId="0" applyFont="true" applyBorder="false" applyAlignment="true" applyProtection="false">
      <alignment horizontal="right" vertical="bottom" textRotation="0" wrapText="false" indent="0" shrinkToFit="false"/>
      <protection locked="true" hidden="false"/>
    </xf>
    <xf numFmtId="173" fontId="13" fillId="5" borderId="0" xfId="0" applyFont="true" applyBorder="false" applyAlignment="true" applyProtection="false">
      <alignment horizontal="right" vertical="bottom" textRotation="0" wrapText="false" indent="0" shrinkToFit="false"/>
      <protection locked="true" hidden="false"/>
    </xf>
    <xf numFmtId="172" fontId="13" fillId="0" borderId="0" xfId="0" applyFont="true" applyBorder="false" applyAlignment="true" applyProtection="false">
      <alignment horizontal="right" vertical="bottom" textRotation="0" wrapText="false" indent="0" shrinkToFit="false"/>
      <protection locked="true" hidden="false"/>
    </xf>
    <xf numFmtId="172" fontId="13" fillId="5" borderId="0" xfId="0" applyFont="true" applyBorder="false" applyAlignment="true" applyProtection="false">
      <alignment horizontal="right" vertical="bottom" textRotation="0" wrapText="false" indent="0" shrinkToFit="false"/>
      <protection locked="true" hidden="false"/>
    </xf>
    <xf numFmtId="172" fontId="10" fillId="0" borderId="0" xfId="0" applyFont="true" applyBorder="false" applyAlignment="true" applyProtection="false">
      <alignment horizontal="right" vertical="bottom" textRotation="0" wrapText="false" indent="0" shrinkToFit="false"/>
      <protection locked="true" hidden="false"/>
    </xf>
    <xf numFmtId="172" fontId="10" fillId="5" borderId="0" xfId="0" applyFont="true" applyBorder="false" applyAlignment="true" applyProtection="false">
      <alignment horizontal="right" vertical="bottom" textRotation="0" wrapText="false" indent="0" shrinkToFit="false"/>
      <protection locked="true" hidden="false"/>
    </xf>
    <xf numFmtId="165" fontId="18" fillId="0" borderId="0" xfId="0" applyFont="true" applyBorder="false" applyAlignment="true" applyProtection="false">
      <alignment horizontal="right" vertical="bottom" textRotation="0" wrapText="false" indent="0" shrinkToFit="false"/>
      <protection locked="true" hidden="false"/>
    </xf>
    <xf numFmtId="165" fontId="18" fillId="5" borderId="0" xfId="0" applyFont="true" applyBorder="false" applyAlignment="true" applyProtection="false">
      <alignment horizontal="right" vertical="bottom" textRotation="0" wrapText="false" indent="0" shrinkToFit="false"/>
      <protection locked="true" hidden="false"/>
    </xf>
    <xf numFmtId="166" fontId="18" fillId="0" borderId="0" xfId="0" applyFont="true" applyBorder="false" applyAlignment="true" applyProtection="false">
      <alignment horizontal="right" vertical="bottom" textRotation="0" wrapText="false" indent="0" shrinkToFit="false"/>
      <protection locked="true" hidden="false"/>
    </xf>
    <xf numFmtId="166" fontId="18" fillId="5"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8" fontId="13" fillId="0" borderId="1" xfId="0" applyFont="true" applyBorder="true" applyAlignment="true" applyProtection="false">
      <alignment horizontal="right" vertical="bottom" textRotation="0" wrapText="false" indent="0" shrinkToFit="false"/>
      <protection locked="true" hidden="false"/>
    </xf>
    <xf numFmtId="168" fontId="13" fillId="5" borderId="1" xfId="0" applyFont="true" applyBorder="true" applyAlignment="true" applyProtection="false">
      <alignment horizontal="right" vertical="bottom" textRotation="0" wrapText="false" indent="0" shrinkToFit="false"/>
      <protection locked="true" hidden="false"/>
    </xf>
    <xf numFmtId="166" fontId="20" fillId="0" borderId="0" xfId="0" applyFont="true" applyBorder="false" applyAlignment="true" applyProtection="false">
      <alignment horizontal="right" vertical="bottom" textRotation="0" wrapText="false" indent="0" shrinkToFit="false"/>
      <protection locked="true" hidden="false"/>
    </xf>
    <xf numFmtId="166" fontId="20" fillId="5" borderId="0" xfId="0" applyFont="true" applyBorder="false" applyAlignment="true" applyProtection="false">
      <alignment horizontal="right" vertical="bottom" textRotation="0" wrapText="false" indent="0" shrinkToFit="false"/>
      <protection locked="true" hidden="false"/>
    </xf>
    <xf numFmtId="168" fontId="21" fillId="0" borderId="0" xfId="0" applyFont="true" applyBorder="false" applyAlignment="true" applyProtection="false">
      <alignment horizontal="right" vertical="bottom" textRotation="0" wrapText="false" indent="0" shrinkToFit="false"/>
      <protection locked="true" hidden="false"/>
    </xf>
    <xf numFmtId="168" fontId="21" fillId="5" borderId="0" xfId="0" applyFont="true" applyBorder="false" applyAlignment="true" applyProtection="false">
      <alignment horizontal="right" vertical="bottom" textRotation="0" wrapText="false" indent="0" shrinkToFit="false"/>
      <protection locked="true" hidden="false"/>
    </xf>
    <xf numFmtId="168" fontId="15" fillId="5" borderId="0" xfId="0" applyFont="true" applyBorder="false" applyAlignment="true" applyProtection="false">
      <alignment horizontal="right"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8" fontId="22" fillId="0" borderId="0" xfId="0" applyFont="true" applyBorder="false" applyAlignment="true" applyProtection="false">
      <alignment horizontal="right" vertical="bottom" textRotation="0" wrapText="false" indent="0" shrinkToFit="false"/>
      <protection locked="true" hidden="false"/>
    </xf>
    <xf numFmtId="168" fontId="22" fillId="5" borderId="0" xfId="0" applyFont="true" applyBorder="false" applyAlignment="true" applyProtection="false">
      <alignment horizontal="right" vertical="bottom" textRotation="0" wrapText="false" indent="0" shrinkToFit="false"/>
      <protection locked="true" hidden="false"/>
    </xf>
    <xf numFmtId="164" fontId="12" fillId="0" borderId="1" xfId="0" applyFont="true" applyBorder="true" applyAlignment="true" applyProtection="false">
      <alignment horizontal="right" vertical="bottom" textRotation="0" wrapText="false" indent="0" shrinkToFit="false"/>
      <protection locked="true" hidden="false"/>
    </xf>
    <xf numFmtId="164" fontId="12" fillId="5" borderId="1" xfId="0" applyFont="true" applyBorder="true" applyAlignment="true" applyProtection="false">
      <alignment horizontal="right" vertical="bottom" textRotation="0" wrapText="false" indent="0" shrinkToFit="false"/>
      <protection locked="true" hidden="false"/>
    </xf>
    <xf numFmtId="169" fontId="10" fillId="0" borderId="0" xfId="0" applyFont="true" applyBorder="false" applyAlignment="true" applyProtection="false">
      <alignment horizontal="right" vertical="bottom" textRotation="0" wrapText="false" indent="0" shrinkToFit="false"/>
      <protection locked="true" hidden="false"/>
    </xf>
    <xf numFmtId="169" fontId="11" fillId="5" borderId="0" xfId="0" applyFont="true" applyBorder="false" applyAlignment="true" applyProtection="false">
      <alignment horizontal="right" vertical="bottom" textRotation="0" wrapText="false" indent="0" shrinkToFit="false"/>
      <protection locked="true" hidden="false"/>
    </xf>
    <xf numFmtId="168" fontId="17" fillId="5" borderId="1" xfId="0" applyFont="true" applyBorder="true" applyAlignment="true" applyProtection="false">
      <alignment horizontal="right"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false" indent="0" shrinkToFit="false"/>
      <protection locked="true" hidden="false"/>
    </xf>
    <xf numFmtId="166" fontId="11" fillId="0" borderId="1" xfId="0" applyFont="true" applyBorder="true" applyAlignment="true" applyProtection="false">
      <alignment horizontal="right" vertical="bottom" textRotation="0" wrapText="false" indent="0" shrinkToFit="false"/>
      <protection locked="true" hidden="false"/>
    </xf>
    <xf numFmtId="174" fontId="12" fillId="0" borderId="0" xfId="0" applyFont="true" applyBorder="false" applyAlignment="true" applyProtection="false">
      <alignment horizontal="right" vertical="bottom" textRotation="0" wrapText="false" indent="0" shrinkToFit="false"/>
      <protection locked="true" hidden="false"/>
    </xf>
    <xf numFmtId="174" fontId="12" fillId="5" borderId="0" xfId="0" applyFont="true" applyBorder="false" applyAlignment="true" applyProtection="false">
      <alignment horizontal="right" vertical="bottom" textRotation="0" wrapText="false" indent="0" shrinkToFit="false"/>
      <protection locked="true" hidden="false"/>
    </xf>
    <xf numFmtId="175" fontId="18" fillId="0" borderId="0" xfId="0" applyFont="true" applyBorder="false" applyAlignment="true" applyProtection="false">
      <alignment horizontal="right" vertical="bottom" textRotation="0" wrapText="false" indent="0" shrinkToFit="false"/>
      <protection locked="true" hidden="false"/>
    </xf>
    <xf numFmtId="175" fontId="18" fillId="5" borderId="0" xfId="0" applyFont="true" applyBorder="false" applyAlignment="true" applyProtection="false">
      <alignment horizontal="right" vertical="bottom" textRotation="0" wrapText="false" indent="0" shrinkToFit="false"/>
      <protection locked="true" hidden="false"/>
    </xf>
    <xf numFmtId="173" fontId="18" fillId="0" borderId="0" xfId="0" applyFont="true" applyBorder="false" applyAlignment="true" applyProtection="false">
      <alignment horizontal="right" vertical="bottom" textRotation="0" wrapText="false" indent="0" shrinkToFit="false"/>
      <protection locked="true" hidden="false"/>
    </xf>
    <xf numFmtId="173" fontId="18" fillId="5" borderId="0" xfId="0" applyFont="true" applyBorder="false" applyAlignment="true" applyProtection="false">
      <alignment horizontal="right" vertical="bottom" textRotation="0" wrapText="false" indent="0" shrinkToFit="false"/>
      <protection locked="true" hidden="false"/>
    </xf>
    <xf numFmtId="173" fontId="10" fillId="0" borderId="0" xfId="0" applyFont="true" applyBorder="false" applyAlignment="true" applyProtection="false">
      <alignment horizontal="right" vertical="bottom" textRotation="0" wrapText="false" indent="0" shrinkToFit="false"/>
      <protection locked="true" hidden="false"/>
    </xf>
    <xf numFmtId="173" fontId="10" fillId="5" borderId="0" xfId="0" applyFont="true" applyBorder="false" applyAlignment="true" applyProtection="false">
      <alignment horizontal="right"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false" indent="1" shrinkToFit="false"/>
      <protection locked="true" hidden="false"/>
    </xf>
    <xf numFmtId="175" fontId="10" fillId="5" borderId="1" xfId="0" applyFont="true" applyBorder="true" applyAlignment="true" applyProtection="false">
      <alignment horizontal="right" vertical="bottom" textRotation="0" wrapText="false" indent="0" shrinkToFit="false"/>
      <protection locked="true" hidden="false"/>
    </xf>
    <xf numFmtId="171" fontId="18" fillId="5" borderId="0" xfId="0" applyFont="true" applyBorder="false" applyAlignment="true" applyProtection="false">
      <alignment horizontal="right" vertical="bottom" textRotation="0" wrapText="false" indent="0" shrinkToFit="false"/>
      <protection locked="true" hidden="false"/>
    </xf>
    <xf numFmtId="175" fontId="10" fillId="0" borderId="0" xfId="0" applyFont="true" applyBorder="false" applyAlignment="true" applyProtection="false">
      <alignment horizontal="right" vertical="bottom" textRotation="0" wrapText="false" indent="0" shrinkToFit="false"/>
      <protection locked="true" hidden="false"/>
    </xf>
    <xf numFmtId="173" fontId="11" fillId="0" borderId="0" xfId="0" applyFont="true" applyBorder="false" applyAlignment="true" applyProtection="false">
      <alignment horizontal="right" vertical="bottom" textRotation="0" wrapText="false" indent="0" shrinkToFit="false"/>
      <protection locked="true" hidden="false"/>
    </xf>
    <xf numFmtId="176" fontId="11" fillId="0" borderId="0" xfId="0" applyFont="true" applyBorder="false" applyAlignment="true" applyProtection="false">
      <alignment horizontal="right" vertical="bottom" textRotation="0" wrapText="false" indent="0" shrinkToFit="false"/>
      <protection locked="true" hidden="false"/>
    </xf>
    <xf numFmtId="169" fontId="11" fillId="0" borderId="0" xfId="0" applyFont="true" applyBorder="false" applyAlignment="true" applyProtection="false">
      <alignment horizontal="right" vertical="bottom" textRotation="0" wrapText="false" indent="0" shrinkToFit="false"/>
      <protection locked="true" hidden="false"/>
    </xf>
    <xf numFmtId="175" fontId="11" fillId="0" borderId="0" xfId="0" applyFont="true" applyBorder="false" applyAlignment="true" applyProtection="false">
      <alignment horizontal="right" vertical="bottom" textRotation="0" wrapText="false" indent="0" shrinkToFit="false"/>
      <protection locked="true" hidden="false"/>
    </xf>
    <xf numFmtId="169" fontId="13" fillId="0" borderId="0" xfId="0" applyFont="true" applyBorder="false" applyAlignment="true" applyProtection="false">
      <alignment horizontal="right" vertical="bottom" textRotation="0" wrapText="false" indent="0" shrinkToFit="false"/>
      <protection locked="true" hidden="false"/>
    </xf>
    <xf numFmtId="164" fontId="23" fillId="0" borderId="0" xfId="0" applyFont="true" applyBorder="false" applyAlignment="true" applyProtection="false">
      <alignment horizontal="right" vertical="bottom" textRotation="0" wrapText="fals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center" vertical="bottom" textRotation="0" wrapText="true" indent="0" shrinkToFit="false"/>
      <protection locked="true" hidden="false"/>
    </xf>
    <xf numFmtId="164" fontId="25" fillId="0" borderId="0" xfId="0" applyFont="true" applyBorder="false" applyAlignment="true" applyProtection="false">
      <alignment horizontal="left" vertical="top" textRotation="0" wrapText="true" indent="0" shrinkToFit="false"/>
      <protection locked="true" hidden="false"/>
    </xf>
    <xf numFmtId="169" fontId="18" fillId="0" borderId="0" xfId="0" applyFont="true" applyBorder="false" applyAlignment="true" applyProtection="false">
      <alignment horizontal="right" vertical="bottom" textRotation="0" wrapText="false" indent="0" shrinkToFit="false"/>
      <protection locked="true" hidden="false"/>
    </xf>
    <xf numFmtId="171" fontId="13" fillId="0" borderId="0" xfId="0" applyFont="true" applyBorder="false" applyAlignment="true" applyProtection="false">
      <alignment horizontal="right" vertical="bottom" textRotation="0" wrapText="false" indent="0" shrinkToFit="false"/>
      <protection locked="true" hidden="false"/>
    </xf>
    <xf numFmtId="166" fontId="13" fillId="0" borderId="0" xfId="0" applyFont="true" applyBorder="false" applyAlignment="true" applyProtection="false">
      <alignment horizontal="right" vertical="bottom" textRotation="0" wrapText="false" indent="0" shrinkToFit="false"/>
      <protection locked="true" hidden="false"/>
    </xf>
    <xf numFmtId="177" fontId="18" fillId="0" borderId="0" xfId="0" applyFont="true" applyBorder="false" applyAlignment="true" applyProtection="false">
      <alignment horizontal="right" vertical="bottom" textRotation="0" wrapText="false" indent="0" shrinkToFit="false"/>
      <protection locked="true" hidden="false"/>
    </xf>
    <xf numFmtId="169" fontId="6" fillId="2" borderId="0" xfId="0" applyFont="true" applyBorder="false" applyAlignment="true" applyProtection="false">
      <alignment horizontal="center" vertical="bottom" textRotation="0" wrapText="false" indent="0" shrinkToFit="false"/>
      <protection locked="true" hidden="false"/>
    </xf>
    <xf numFmtId="175" fontId="6" fillId="2" borderId="0" xfId="0" applyFont="true" applyBorder="false" applyAlignment="true" applyProtection="false">
      <alignment horizontal="center" vertical="bottom" textRotation="0" wrapText="false" indent="0" shrinkToFit="false"/>
      <protection locked="true" hidden="false"/>
    </xf>
    <xf numFmtId="165" fontId="6" fillId="2" borderId="0" xfId="0" applyFont="true" applyBorder="false" applyAlignment="true" applyProtection="false">
      <alignment horizontal="center" vertical="bottom" textRotation="0" wrapText="false" indent="0" shrinkToFit="false"/>
      <protection locked="true" hidden="false"/>
    </xf>
    <xf numFmtId="164" fontId="25" fillId="2"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true" applyProtection="false">
      <alignment horizontal="center" vertical="bottom" textRotation="0" wrapText="true" indent="0" shrinkToFit="false"/>
      <protection locked="true" hidden="false"/>
    </xf>
    <xf numFmtId="175" fontId="14" fillId="0" borderId="0" xfId="0" applyFont="true" applyBorder="false" applyAlignment="true" applyProtection="false">
      <alignment horizontal="right" vertical="bottom" textRotation="0" wrapText="false" indent="0" shrinkToFit="false"/>
      <protection locked="true" hidden="false"/>
    </xf>
    <xf numFmtId="175" fontId="25" fillId="0"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75" fontId="13" fillId="0" borderId="0" xfId="0" applyFont="true" applyBorder="false" applyAlignment="true" applyProtection="false">
      <alignment horizontal="right"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true" indent="0" shrinkToFit="false"/>
      <protection locked="true" hidden="false"/>
    </xf>
    <xf numFmtId="164" fontId="26"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8" fillId="4"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14"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73" fontId="14" fillId="0" borderId="0" xfId="0" applyFont="true" applyBorder="false" applyAlignment="true" applyProtection="false">
      <alignment horizontal="right" vertical="bottom" textRotation="0" wrapText="false" indent="0" shrinkToFit="false"/>
      <protection locked="true" hidden="false"/>
    </xf>
    <xf numFmtId="164" fontId="10" fillId="4" borderId="0" xfId="0" applyFont="true" applyBorder="false" applyAlignment="true" applyProtection="false">
      <alignment horizontal="general" vertical="bottom" textRotation="0" wrapText="false" indent="0" shrinkToFit="false"/>
      <protection locked="true" hidden="false"/>
    </xf>
    <xf numFmtId="173" fontId="18" fillId="4" borderId="0" xfId="0" applyFont="true" applyBorder="false" applyAlignment="true" applyProtection="false">
      <alignment horizontal="right" vertical="bottom" textRotation="0" wrapText="false" indent="0" shrinkToFit="false"/>
      <protection locked="true" hidden="false"/>
    </xf>
    <xf numFmtId="164" fontId="27" fillId="0" borderId="0" xfId="0" applyFont="true" applyBorder="false" applyAlignment="true" applyProtection="false">
      <alignment horizontal="general" vertical="bottom" textRotation="0" wrapText="false" indent="0" shrinkToFit="false"/>
      <protection locked="true" hidden="false"/>
    </xf>
    <xf numFmtId="173" fontId="17" fillId="0" borderId="0" xfId="0" applyFont="true" applyBorder="fals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CC"/>
      <rgbColor rgb="FFFFFF00"/>
      <rgbColor rgb="FFFF00FF"/>
      <rgbColor rgb="FF00FFFF"/>
      <rgbColor rgb="FF800000"/>
      <rgbColor rgb="FF006100"/>
      <rgbColor rgb="FF000080"/>
      <rgbColor rgb="FF9A6B23"/>
      <rgbColor rgb="FF800080"/>
      <rgbColor rgb="FF008080"/>
      <rgbColor rgb="FFBFBFBF"/>
      <rgbColor rgb="FF808080"/>
      <rgbColor rgb="FF9999FF"/>
      <rgbColor rgb="FF993366"/>
      <rgbColor rgb="FFF6F3EE"/>
      <rgbColor rgb="FFEAF1F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B6B7A"/>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E79"/>
    <pageSetUpPr fitToPage="true"/>
  </sheetPr>
  <dimension ref="A1:K17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78"/>
  </cols>
  <sheetData>
    <row r="1" customFormat="false" ht="15.75" hidden="false" customHeight="true" outlineLevel="0" collapsed="false">
      <c r="A1" s="2" t="s">
        <v>0</v>
      </c>
    </row>
    <row r="2" customFormat="false" ht="15" hidden="false" customHeight="true" outlineLevel="0" collapsed="false">
      <c r="A2" s="3" t="s">
        <v>1</v>
      </c>
    </row>
    <row r="4" customFormat="false" ht="15" hidden="false" customHeight="true" outlineLevel="0" collapsed="false">
      <c r="B4" s="4" t="s">
        <v>2</v>
      </c>
      <c r="C4" s="4" t="s">
        <v>3</v>
      </c>
      <c r="D4" s="4" t="s">
        <v>4</v>
      </c>
      <c r="E4" s="4" t="s">
        <v>5</v>
      </c>
      <c r="F4" s="4" t="s">
        <v>6</v>
      </c>
      <c r="G4" s="4" t="s">
        <v>7</v>
      </c>
      <c r="H4" s="4" t="s">
        <v>8</v>
      </c>
      <c r="I4" s="4" t="s">
        <v>9</v>
      </c>
      <c r="K4" s="5" t="s">
        <v>10</v>
      </c>
    </row>
    <row r="6" customFormat="false" ht="15" hidden="false" customHeight="true" outlineLevel="0" collapsed="false">
      <c r="A6" s="6" t="s">
        <v>11</v>
      </c>
      <c r="B6" s="7"/>
      <c r="C6" s="7"/>
      <c r="D6" s="7"/>
      <c r="E6" s="7"/>
      <c r="F6" s="7"/>
      <c r="G6" s="7"/>
      <c r="H6" s="7"/>
      <c r="I6" s="7"/>
      <c r="K6" s="8" t="s">
        <v>12</v>
      </c>
    </row>
    <row r="7" customFormat="false" ht="15" hidden="false" customHeight="true" outlineLevel="0" collapsed="false">
      <c r="A7" s="9" t="s">
        <v>13</v>
      </c>
      <c r="B7" s="10" t="n">
        <v>1623</v>
      </c>
      <c r="C7" s="10" t="n">
        <v>1623</v>
      </c>
      <c r="D7" s="10" t="n">
        <v>1623</v>
      </c>
      <c r="E7" s="11" t="n">
        <v>1623</v>
      </c>
      <c r="F7" s="11" t="n">
        <v>1623</v>
      </c>
      <c r="G7" s="11" t="n">
        <v>1623</v>
      </c>
      <c r="H7" s="11" t="n">
        <v>1623</v>
      </c>
      <c r="I7" s="11" t="n">
        <v>1623</v>
      </c>
      <c r="K7" s="12" t="s">
        <v>14</v>
      </c>
    </row>
    <row r="8" customFormat="false" ht="15" hidden="false" customHeight="true" outlineLevel="0" collapsed="false">
      <c r="A8" s="13" t="s">
        <v>15</v>
      </c>
      <c r="B8" s="14" t="n">
        <f aca="false">B10/B7</f>
        <v>0.998561306223044</v>
      </c>
      <c r="C8" s="14" t="n">
        <f aca="false">C10/C7</f>
        <v>0.999544670363524</v>
      </c>
      <c r="D8" s="14" t="n">
        <f aca="false">D10/D7</f>
        <v>1.00008564386938</v>
      </c>
      <c r="E8" s="15" t="n">
        <f aca="false">E10/E7</f>
        <v>0.560815157116451</v>
      </c>
      <c r="F8" s="15" t="n">
        <f aca="false">F10/F7</f>
        <v>0.800985828712261</v>
      </c>
      <c r="G8" s="15" t="n">
        <f aca="false">G10/G7</f>
        <v>0.93037584719655</v>
      </c>
      <c r="H8" s="15" t="n">
        <f aca="false">H10/H7</f>
        <v>0.985828712261245</v>
      </c>
      <c r="I8" s="15" t="n">
        <f aca="false">I10/I7</f>
        <v>0.99815157116451</v>
      </c>
    </row>
    <row r="9" customFormat="false" ht="15" hidden="false" customHeight="true" outlineLevel="0" collapsed="false">
      <c r="A9" s="16" t="s">
        <v>16</v>
      </c>
      <c r="B9" s="17" t="n">
        <f aca="false">B8*6</f>
        <v>5.99136783733826</v>
      </c>
      <c r="C9" s="17" t="n">
        <f aca="false">C8*6</f>
        <v>5.99726802218115</v>
      </c>
      <c r="D9" s="17" t="n">
        <f aca="false">D8*6</f>
        <v>6.00051386321627</v>
      </c>
      <c r="E9" s="18" t="n">
        <f aca="false">E8*6</f>
        <v>3.36489094269871</v>
      </c>
      <c r="F9" s="18" t="n">
        <f aca="false">F8*6</f>
        <v>4.80591497227357</v>
      </c>
      <c r="G9" s="18" t="n">
        <f aca="false">G8*6</f>
        <v>5.5822550831793</v>
      </c>
      <c r="H9" s="18" t="n">
        <f aca="false">H8*6</f>
        <v>5.91497227356747</v>
      </c>
      <c r="I9" s="18" t="n">
        <f aca="false">I8*6</f>
        <v>5.98890942698706</v>
      </c>
      <c r="K9" s="12" t="s">
        <v>17</v>
      </c>
    </row>
    <row r="10" customFormat="false" ht="15" hidden="false" customHeight="true" outlineLevel="0" collapsed="false">
      <c r="A10" s="19" t="s">
        <v>18</v>
      </c>
      <c r="B10" s="20" t="n">
        <v>1620.665</v>
      </c>
      <c r="C10" s="20" t="n">
        <v>1622.261</v>
      </c>
      <c r="D10" s="20" t="n">
        <v>1623.139</v>
      </c>
      <c r="E10" s="21" t="n">
        <v>910.203</v>
      </c>
      <c r="F10" s="21" t="n">
        <v>1300</v>
      </c>
      <c r="G10" s="21" t="n">
        <v>1510</v>
      </c>
      <c r="H10" s="21" t="n">
        <v>1600</v>
      </c>
      <c r="I10" s="21" t="n">
        <v>1620</v>
      </c>
      <c r="K10" s="12" t="s">
        <v>19</v>
      </c>
    </row>
    <row r="11" customFormat="false" ht="15" hidden="false" customHeight="true" outlineLevel="0" collapsed="false">
      <c r="A11" s="16" t="s">
        <v>20</v>
      </c>
      <c r="C11" s="22" t="n">
        <f aca="false">C10/B10-1</f>
        <v>0.000984780938688701</v>
      </c>
      <c r="D11" s="22" t="n">
        <f aca="false">D10/C10-1</f>
        <v>0.000541219939331539</v>
      </c>
      <c r="E11" s="23" t="n">
        <f aca="false">E10/D10-1</f>
        <v>-0.439232869150455</v>
      </c>
      <c r="F11" s="23" t="n">
        <f aca="false">F10/E10-1</f>
        <v>0.42825281832734</v>
      </c>
      <c r="G11" s="23" t="n">
        <f aca="false">G10/F10-1</f>
        <v>0.161538461538462</v>
      </c>
      <c r="H11" s="23" t="n">
        <f aca="false">H10/G10-1</f>
        <v>0.0596026490066226</v>
      </c>
      <c r="I11" s="23" t="n">
        <f aca="false">I10/H10-1</f>
        <v>0.0125</v>
      </c>
    </row>
    <row r="12" customFormat="false" ht="15" hidden="false" customHeight="true" outlineLevel="0" collapsed="false">
      <c r="A12" s="19" t="s">
        <v>21</v>
      </c>
      <c r="B12" s="20" t="n">
        <v>1603.011</v>
      </c>
      <c r="C12" s="20" t="n">
        <v>1612</v>
      </c>
      <c r="D12" s="20" t="n">
        <v>1613.36</v>
      </c>
      <c r="E12" s="21" t="n">
        <v>1043.362</v>
      </c>
      <c r="F12" s="21" t="n">
        <v>1290</v>
      </c>
      <c r="G12" s="21" t="n">
        <v>1505</v>
      </c>
      <c r="H12" s="21" t="n">
        <v>1595</v>
      </c>
      <c r="I12" s="21" t="n">
        <v>1615</v>
      </c>
      <c r="K12" s="12" t="s">
        <v>22</v>
      </c>
    </row>
    <row r="13" customFormat="false" ht="15" hidden="false" customHeight="true" outlineLevel="0" collapsed="false">
      <c r="A13" s="16" t="s">
        <v>20</v>
      </c>
      <c r="C13" s="22" t="n">
        <f aca="false">C12/B12-1</f>
        <v>0.00560757224997222</v>
      </c>
      <c r="D13" s="22" t="n">
        <f aca="false">D12/C12-1</f>
        <v>0.000843672456575684</v>
      </c>
      <c r="E13" s="23" t="n">
        <f aca="false">E12/D12-1</f>
        <v>-0.353298705806515</v>
      </c>
      <c r="F13" s="23" t="n">
        <f aca="false">F12/E12-1</f>
        <v>0.236387754202281</v>
      </c>
      <c r="G13" s="23" t="n">
        <f aca="false">G12/F12-1</f>
        <v>0.166666666666667</v>
      </c>
      <c r="H13" s="23" t="n">
        <f aca="false">H12/G12-1</f>
        <v>0.0598006644518272</v>
      </c>
      <c r="I13" s="23" t="n">
        <f aca="false">I12/H12-1</f>
        <v>0.0125391849529781</v>
      </c>
    </row>
    <row r="14" customFormat="false" ht="15" hidden="false" customHeight="true" outlineLevel="0" collapsed="false">
      <c r="A14" s="13" t="s">
        <v>23</v>
      </c>
      <c r="B14" s="24" t="n">
        <v>0.68</v>
      </c>
      <c r="C14" s="24" t="n">
        <v>0.72</v>
      </c>
      <c r="D14" s="24" t="n">
        <v>0.74</v>
      </c>
      <c r="E14" s="25" t="n">
        <v>0.71</v>
      </c>
      <c r="F14" s="25" t="n">
        <v>0.73</v>
      </c>
      <c r="G14" s="25" t="n">
        <v>0.74</v>
      </c>
      <c r="H14" s="25" t="n">
        <v>0.75</v>
      </c>
      <c r="I14" s="25" t="n">
        <v>0.75</v>
      </c>
      <c r="K14" s="12" t="s">
        <v>24</v>
      </c>
    </row>
    <row r="15" customFormat="false" ht="15" hidden="false" customHeight="true" outlineLevel="0" collapsed="false">
      <c r="A15" s="13" t="s">
        <v>25</v>
      </c>
      <c r="B15" s="26" t="n">
        <f aca="false">B12*B14</f>
        <v>1090.04748</v>
      </c>
      <c r="C15" s="26" t="n">
        <f aca="false">C12*C14</f>
        <v>1160.64</v>
      </c>
      <c r="D15" s="26" t="n">
        <f aca="false">D12*D14</f>
        <v>1193.8864</v>
      </c>
      <c r="E15" s="27" t="n">
        <f aca="false">E12*E14</f>
        <v>740.78702</v>
      </c>
      <c r="F15" s="27" t="n">
        <f aca="false">F12*F14</f>
        <v>941.7</v>
      </c>
      <c r="G15" s="27" t="n">
        <f aca="false">G12*G14</f>
        <v>1113.7</v>
      </c>
      <c r="H15" s="27" t="n">
        <f aca="false">H12*H14</f>
        <v>1196.25</v>
      </c>
      <c r="I15" s="27" t="n">
        <f aca="false">I12*I14</f>
        <v>1211.25</v>
      </c>
    </row>
    <row r="16" customFormat="false" ht="15" hidden="false" customHeight="true" outlineLevel="0" collapsed="false">
      <c r="A16" s="28" t="s">
        <v>26</v>
      </c>
      <c r="B16" s="29" t="n">
        <f aca="false">B10-B12</f>
        <v>17.654</v>
      </c>
      <c r="C16" s="29" t="n">
        <f aca="false">C10-C12</f>
        <v>10.261</v>
      </c>
      <c r="D16" s="29" t="n">
        <f aca="false">D10-D12</f>
        <v>9.779</v>
      </c>
      <c r="E16" s="30" t="n">
        <f aca="false">E10-E12</f>
        <v>-133.159</v>
      </c>
      <c r="F16" s="30" t="n">
        <f aca="false">F10-F12</f>
        <v>10</v>
      </c>
      <c r="G16" s="30" t="n">
        <f aca="false">G10-G12</f>
        <v>5</v>
      </c>
      <c r="H16" s="30" t="n">
        <f aca="false">H10-H12</f>
        <v>5</v>
      </c>
      <c r="I16" s="30" t="n">
        <f aca="false">I10-I12</f>
        <v>5</v>
      </c>
    </row>
    <row r="18" customFormat="false" ht="15" hidden="false" customHeight="true" outlineLevel="0" collapsed="false">
      <c r="A18" s="6" t="s">
        <v>27</v>
      </c>
      <c r="B18" s="7"/>
      <c r="C18" s="7"/>
      <c r="D18" s="7"/>
      <c r="E18" s="7"/>
      <c r="F18" s="7"/>
      <c r="G18" s="7"/>
      <c r="H18" s="7"/>
      <c r="I18" s="7"/>
      <c r="K18" s="8" t="s">
        <v>28</v>
      </c>
    </row>
    <row r="19" customFormat="false" ht="15" hidden="false" customHeight="true" outlineLevel="0" collapsed="false">
      <c r="A19" s="9" t="s">
        <v>29</v>
      </c>
      <c r="B19" s="10" t="n">
        <v>2252</v>
      </c>
      <c r="C19" s="10" t="n">
        <v>2419</v>
      </c>
      <c r="D19" s="10" t="n">
        <v>2630</v>
      </c>
      <c r="E19" s="11" t="n">
        <v>3350</v>
      </c>
      <c r="F19" s="11" t="n">
        <v>3050</v>
      </c>
      <c r="G19" s="11" t="n">
        <v>2900</v>
      </c>
      <c r="H19" s="11" t="n">
        <v>2800</v>
      </c>
      <c r="I19" s="11" t="n">
        <v>2750</v>
      </c>
      <c r="K19" s="12" t="s">
        <v>30</v>
      </c>
    </row>
    <row r="20" customFormat="false" ht="15" hidden="false" customHeight="true" outlineLevel="0" collapsed="false">
      <c r="A20" s="16" t="s">
        <v>31</v>
      </c>
      <c r="C20" s="22" t="n">
        <f aca="false">C19/B19-1</f>
        <v>0.0741563055062167</v>
      </c>
      <c r="D20" s="22" t="n">
        <f aca="false">D19/C19-1</f>
        <v>0.0872261264985532</v>
      </c>
      <c r="E20" s="23" t="n">
        <f aca="false">E19/D19-1</f>
        <v>0.273764258555133</v>
      </c>
      <c r="F20" s="23" t="n">
        <f aca="false">F19/E19-1</f>
        <v>-0.0895522388059702</v>
      </c>
      <c r="G20" s="23" t="n">
        <f aca="false">G19/F19-1</f>
        <v>-0.0491803278688525</v>
      </c>
      <c r="H20" s="23" t="n">
        <f aca="false">H19/G19-1</f>
        <v>-0.0344827586206896</v>
      </c>
      <c r="I20" s="23" t="n">
        <f aca="false">I19/H19-1</f>
        <v>-0.0178571428571429</v>
      </c>
    </row>
    <row r="21" customFormat="false" ht="15" hidden="false" customHeight="true" outlineLevel="0" collapsed="false">
      <c r="A21" s="9" t="s">
        <v>32</v>
      </c>
      <c r="B21" s="10" t="n">
        <v>335</v>
      </c>
      <c r="C21" s="10" t="n">
        <v>268</v>
      </c>
      <c r="D21" s="10" t="n">
        <v>332</v>
      </c>
      <c r="E21" s="11" t="n">
        <v>430</v>
      </c>
      <c r="F21" s="11" t="n">
        <v>380</v>
      </c>
      <c r="G21" s="11" t="n">
        <v>350</v>
      </c>
      <c r="H21" s="11" t="n">
        <v>335</v>
      </c>
      <c r="I21" s="11" t="n">
        <v>330</v>
      </c>
      <c r="K21" s="12" t="s">
        <v>33</v>
      </c>
    </row>
    <row r="22" customFormat="false" ht="15" hidden="false" customHeight="true" outlineLevel="0" collapsed="false">
      <c r="A22" s="13" t="s">
        <v>34</v>
      </c>
      <c r="B22" s="10" t="n">
        <v>-35.1217665533795</v>
      </c>
      <c r="C22" s="10" t="n">
        <v>-37.0045878083124</v>
      </c>
      <c r="D22" s="10" t="n">
        <v>-31.7831001258237</v>
      </c>
      <c r="E22" s="11" t="n">
        <v>-200</v>
      </c>
      <c r="F22" s="11" t="n">
        <v>-120</v>
      </c>
      <c r="G22" s="11" t="n">
        <v>-100</v>
      </c>
      <c r="H22" s="11" t="n">
        <v>-95</v>
      </c>
      <c r="I22" s="11" t="n">
        <v>-95</v>
      </c>
      <c r="K22" s="12" t="s">
        <v>35</v>
      </c>
    </row>
    <row r="23" customFormat="false" ht="15" hidden="false" customHeight="true" outlineLevel="0" collapsed="false">
      <c r="A23" s="19" t="s">
        <v>36</v>
      </c>
      <c r="B23" s="31" t="n">
        <f aca="false">B19+B21+B22</f>
        <v>2551.87823344662</v>
      </c>
      <c r="C23" s="31" t="n">
        <f aca="false">C19+C21+C22</f>
        <v>2649.99541219169</v>
      </c>
      <c r="D23" s="31" t="n">
        <f aca="false">D19+D21+D22</f>
        <v>2930.21689987418</v>
      </c>
      <c r="E23" s="32" t="n">
        <f aca="false">E19+E21+E22</f>
        <v>3580</v>
      </c>
      <c r="F23" s="32" t="n">
        <f aca="false">F19+F21+F22</f>
        <v>3310</v>
      </c>
      <c r="G23" s="32" t="n">
        <f aca="false">G19+G21+G22</f>
        <v>3150</v>
      </c>
      <c r="H23" s="32" t="n">
        <f aca="false">H19+H21+H22</f>
        <v>3040</v>
      </c>
      <c r="I23" s="32" t="n">
        <f aca="false">I19+I21+I22</f>
        <v>2985</v>
      </c>
    </row>
    <row r="24" customFormat="false" ht="15" hidden="false" customHeight="true" outlineLevel="0" collapsed="false">
      <c r="A24" s="16" t="s">
        <v>31</v>
      </c>
      <c r="C24" s="22" t="n">
        <f aca="false">C23/B23-1</f>
        <v>0.0384490049168795</v>
      </c>
      <c r="D24" s="22" t="n">
        <f aca="false">D23/C23-1</f>
        <v>0.10574414068541</v>
      </c>
      <c r="E24" s="23" t="n">
        <f aca="false">E23/D23-1</f>
        <v>0.221752560417533</v>
      </c>
      <c r="F24" s="23" t="n">
        <f aca="false">F23/E23-1</f>
        <v>-0.0754189944134078</v>
      </c>
      <c r="G24" s="23" t="n">
        <f aca="false">G23/F23-1</f>
        <v>-0.0483383685800605</v>
      </c>
      <c r="H24" s="23" t="n">
        <f aca="false">H23/G23-1</f>
        <v>-0.0349206349206349</v>
      </c>
      <c r="I24" s="23" t="n">
        <f aca="false">I23/H23-1</f>
        <v>-0.0180921052631579</v>
      </c>
    </row>
    <row r="25" customFormat="false" ht="15" hidden="false" customHeight="true" outlineLevel="0" collapsed="false">
      <c r="A25" s="9" t="s">
        <v>37</v>
      </c>
      <c r="B25" s="10" t="n">
        <v>410</v>
      </c>
      <c r="C25" s="10" t="n">
        <v>444</v>
      </c>
      <c r="D25" s="10" t="n">
        <v>503</v>
      </c>
      <c r="E25" s="11" t="n">
        <v>345</v>
      </c>
      <c r="F25" s="11" t="n">
        <v>360</v>
      </c>
      <c r="G25" s="11" t="n">
        <v>385</v>
      </c>
      <c r="H25" s="11" t="n">
        <v>400</v>
      </c>
      <c r="I25" s="11" t="n">
        <v>410</v>
      </c>
      <c r="K25" s="12" t="s">
        <v>38</v>
      </c>
    </row>
    <row r="26" customFormat="false" ht="15" hidden="false" customHeight="true" outlineLevel="0" collapsed="false">
      <c r="A26" s="16" t="s">
        <v>39</v>
      </c>
      <c r="B26" s="22" t="n">
        <f aca="false">B25/B19</f>
        <v>0.182060390763766</v>
      </c>
      <c r="C26" s="22" t="n">
        <f aca="false">C25/C19</f>
        <v>0.183546920214965</v>
      </c>
      <c r="D26" s="22" t="n">
        <f aca="false">D25/D19</f>
        <v>0.191254752851711</v>
      </c>
      <c r="E26" s="23" t="n">
        <f aca="false">E25/E19</f>
        <v>0.102985074626866</v>
      </c>
      <c r="F26" s="23" t="n">
        <f aca="false">F25/F19</f>
        <v>0.118032786885246</v>
      </c>
      <c r="G26" s="23" t="n">
        <f aca="false">G25/G19</f>
        <v>0.132758620689655</v>
      </c>
      <c r="H26" s="23" t="n">
        <f aca="false">H25/H19</f>
        <v>0.142857142857143</v>
      </c>
      <c r="I26" s="23" t="n">
        <f aca="false">I25/I19</f>
        <v>0.149090909090909</v>
      </c>
    </row>
    <row r="27" customFormat="false" ht="15" hidden="false" customHeight="true" outlineLevel="0" collapsed="false">
      <c r="A27" s="28" t="s">
        <v>40</v>
      </c>
      <c r="B27" s="33" t="n">
        <f aca="false">B19-B25</f>
        <v>1842</v>
      </c>
      <c r="C27" s="33" t="n">
        <f aca="false">C19-C25</f>
        <v>1975</v>
      </c>
      <c r="D27" s="33" t="n">
        <f aca="false">D19-D25</f>
        <v>2127</v>
      </c>
      <c r="E27" s="34" t="n">
        <f aca="false">E19-E25</f>
        <v>3005</v>
      </c>
      <c r="F27" s="34" t="n">
        <f aca="false">F19-F25</f>
        <v>2690</v>
      </c>
      <c r="G27" s="34" t="n">
        <f aca="false">G19-G25</f>
        <v>2515</v>
      </c>
      <c r="H27" s="34" t="n">
        <f aca="false">H19-H25</f>
        <v>2400</v>
      </c>
      <c r="I27" s="34" t="n">
        <f aca="false">I19-I25</f>
        <v>2340</v>
      </c>
    </row>
    <row r="29" customFormat="false" ht="15" hidden="false" customHeight="true" outlineLevel="0" collapsed="false">
      <c r="A29" s="6" t="s">
        <v>41</v>
      </c>
      <c r="B29" s="7"/>
      <c r="C29" s="7"/>
      <c r="D29" s="7"/>
      <c r="E29" s="7"/>
      <c r="F29" s="7"/>
      <c r="G29" s="7"/>
      <c r="H29" s="7"/>
      <c r="I29" s="7"/>
      <c r="K29" s="7"/>
    </row>
    <row r="30" customFormat="false" ht="15" hidden="false" customHeight="true" outlineLevel="0" collapsed="false">
      <c r="A30" s="19" t="s">
        <v>42</v>
      </c>
      <c r="B30" s="35" t="n">
        <f aca="false">B23*B12/1000</f>
        <v>4090.6888788755</v>
      </c>
      <c r="C30" s="35" t="n">
        <f aca="false">C23*C12/1000</f>
        <v>4271.792604453</v>
      </c>
      <c r="D30" s="35" t="n">
        <f aca="false">D23*D12/1000</f>
        <v>4727.494737581</v>
      </c>
      <c r="E30" s="36" t="n">
        <f aca="false">E23*E12/1000</f>
        <v>3735.23596</v>
      </c>
      <c r="F30" s="36" t="n">
        <f aca="false">F23*F12/1000</f>
        <v>4269.9</v>
      </c>
      <c r="G30" s="36" t="n">
        <f aca="false">G23*G12/1000</f>
        <v>4740.75</v>
      </c>
      <c r="H30" s="36" t="n">
        <f aca="false">H23*H12/1000</f>
        <v>4848.8</v>
      </c>
      <c r="I30" s="36" t="n">
        <f aca="false">I23*I12/1000</f>
        <v>4820.775</v>
      </c>
    </row>
    <row r="31" customFormat="false" ht="15" hidden="false" customHeight="true" outlineLevel="0" collapsed="false">
      <c r="A31" s="13" t="s">
        <v>43</v>
      </c>
      <c r="B31" s="37" t="n">
        <v>15.4494682705</v>
      </c>
      <c r="C31" s="37" t="n">
        <v>41.313830283</v>
      </c>
      <c r="D31" s="37" t="n">
        <v>3.281914933</v>
      </c>
      <c r="E31" s="38" t="n">
        <v>163</v>
      </c>
      <c r="F31" s="38" t="n">
        <v>80</v>
      </c>
      <c r="G31" s="38" t="n">
        <v>85</v>
      </c>
      <c r="H31" s="38" t="n">
        <v>90</v>
      </c>
      <c r="I31" s="38" t="n">
        <v>95</v>
      </c>
      <c r="K31" s="12" t="s">
        <v>44</v>
      </c>
    </row>
    <row r="32" customFormat="false" ht="15" hidden="false" customHeight="true" outlineLevel="0" collapsed="false">
      <c r="A32" s="19" t="s">
        <v>45</v>
      </c>
      <c r="B32" s="35" t="n">
        <f aca="false">B30+B31</f>
        <v>4106.138347146</v>
      </c>
      <c r="C32" s="35" t="n">
        <f aca="false">C30+C31</f>
        <v>4313.106434736</v>
      </c>
      <c r="D32" s="35" t="n">
        <f aca="false">D30+D31</f>
        <v>4730.776652514</v>
      </c>
      <c r="E32" s="36" t="n">
        <f aca="false">E30+E31</f>
        <v>3898.23596</v>
      </c>
      <c r="F32" s="36" t="n">
        <f aca="false">F30+F31</f>
        <v>4349.9</v>
      </c>
      <c r="G32" s="36" t="n">
        <f aca="false">G30+G31</f>
        <v>4825.75</v>
      </c>
      <c r="H32" s="36" t="n">
        <f aca="false">H30+H31</f>
        <v>4938.8</v>
      </c>
      <c r="I32" s="36" t="n">
        <f aca="false">I30+I31</f>
        <v>4915.775</v>
      </c>
    </row>
    <row r="33" customFormat="false" ht="15" hidden="false" customHeight="true" outlineLevel="0" collapsed="false">
      <c r="A33" s="16" t="s">
        <v>20</v>
      </c>
      <c r="C33" s="22" t="n">
        <f aca="false">C32/B32-1</f>
        <v>0.0504045577845313</v>
      </c>
      <c r="D33" s="22" t="n">
        <f aca="false">D32/C32-1</f>
        <v>0.0968374474634464</v>
      </c>
      <c r="E33" s="23" t="n">
        <f aca="false">E32/D32-1</f>
        <v>-0.175983935337885</v>
      </c>
      <c r="F33" s="23" t="n">
        <f aca="false">F32/E32-1</f>
        <v>0.115863699538598</v>
      </c>
      <c r="G33" s="23" t="n">
        <f aca="false">G32/F32-1</f>
        <v>0.109393319386653</v>
      </c>
      <c r="H33" s="23" t="n">
        <f aca="false">H32/G32-1</f>
        <v>0.0234264104025281</v>
      </c>
      <c r="I33" s="23" t="n">
        <f aca="false">I32/H32-1</f>
        <v>-0.00466206365918853</v>
      </c>
    </row>
    <row r="34" customFormat="false" ht="15" hidden="false" customHeight="true" outlineLevel="0" collapsed="false">
      <c r="A34" s="16" t="s">
        <v>46</v>
      </c>
      <c r="B34" s="39" t="n">
        <v>4106.138347146</v>
      </c>
      <c r="C34" s="39" t="n">
        <v>4313.106434736</v>
      </c>
      <c r="D34" s="39" t="n">
        <v>4730.776652514</v>
      </c>
      <c r="K34" s="12" t="s">
        <v>47</v>
      </c>
    </row>
    <row r="35" customFormat="false" ht="15" hidden="false" customHeight="true" outlineLevel="0" collapsed="false">
      <c r="A35" s="28" t="s">
        <v>48</v>
      </c>
      <c r="B35" s="40" t="n">
        <f aca="false">IF(B34=0,0,B32/B34-1)</f>
        <v>0</v>
      </c>
      <c r="C35" s="40" t="n">
        <f aca="false">IF(C34=0,0,C32/C34-1)</f>
        <v>0</v>
      </c>
      <c r="D35" s="40" t="n">
        <f aca="false">IF(D34=0,0,D32/D34-1)</f>
        <v>0</v>
      </c>
      <c r="E35" s="41"/>
      <c r="F35" s="41"/>
      <c r="G35" s="41"/>
      <c r="H35" s="41"/>
      <c r="I35" s="41"/>
    </row>
    <row r="37" customFormat="false" ht="15" hidden="false" customHeight="true" outlineLevel="0" collapsed="false">
      <c r="A37" s="6" t="s">
        <v>49</v>
      </c>
      <c r="B37" s="7"/>
      <c r="C37" s="7"/>
      <c r="D37" s="7"/>
      <c r="E37" s="7"/>
      <c r="F37" s="7"/>
      <c r="G37" s="7"/>
      <c r="H37" s="7"/>
      <c r="I37" s="7"/>
      <c r="K37" s="8" t="s">
        <v>50</v>
      </c>
    </row>
    <row r="38" customFormat="false" ht="15" hidden="false" customHeight="true" outlineLevel="0" collapsed="false">
      <c r="A38" s="9" t="s">
        <v>51</v>
      </c>
      <c r="B38" s="26" t="n">
        <v>1383.8431017125</v>
      </c>
      <c r="C38" s="26" t="n">
        <v>1468.0026771905</v>
      </c>
      <c r="D38" s="26" t="n">
        <v>1807.675553607</v>
      </c>
      <c r="E38" s="27" t="n">
        <f aca="false">E39*E32</f>
        <v>1403.3649456</v>
      </c>
      <c r="F38" s="27" t="n">
        <f aca="false">F39*F32</f>
        <v>1609.463</v>
      </c>
      <c r="G38" s="27" t="n">
        <f aca="false">G39*G32</f>
        <v>1809.65625</v>
      </c>
      <c r="H38" s="27" t="n">
        <f aca="false">H39*H32</f>
        <v>1876.744</v>
      </c>
      <c r="I38" s="27" t="n">
        <f aca="false">I39*I32</f>
        <v>1867.9945</v>
      </c>
    </row>
    <row r="39" customFormat="false" ht="15" hidden="false" customHeight="true" outlineLevel="0" collapsed="false">
      <c r="A39" s="42" t="s">
        <v>52</v>
      </c>
      <c r="B39" s="22" t="n">
        <f aca="false">B38/B32</f>
        <v>0.337018138386484</v>
      </c>
      <c r="C39" s="22" t="n">
        <f aca="false">C38/C32</f>
        <v>0.340358555812072</v>
      </c>
      <c r="D39" s="22" t="n">
        <f aca="false">D38/D32</f>
        <v>0.38210968016137</v>
      </c>
      <c r="E39" s="43" t="n">
        <v>0.36</v>
      </c>
      <c r="F39" s="43" t="n">
        <v>0.37</v>
      </c>
      <c r="G39" s="43" t="n">
        <v>0.375</v>
      </c>
      <c r="H39" s="43" t="n">
        <v>0.38</v>
      </c>
      <c r="I39" s="43" t="n">
        <v>0.38</v>
      </c>
    </row>
    <row r="40" customFormat="false" ht="15" hidden="false" customHeight="true" outlineLevel="0" collapsed="false">
      <c r="A40" s="42" t="s">
        <v>20</v>
      </c>
      <c r="C40" s="22" t="n">
        <f aca="false">IF(B38=0,"n.m.",C38/B38-1)</f>
        <v>0.0608158362561861</v>
      </c>
      <c r="D40" s="22" t="n">
        <f aca="false">IF(C38=0,"n.m.",D38/C38-1)</f>
        <v>0.231384371223746</v>
      </c>
      <c r="E40" s="23" t="n">
        <f aca="false">IF(D38=0,"n.m.",E38/D38-1)</f>
        <v>-0.22366326036785</v>
      </c>
      <c r="F40" s="23" t="n">
        <f aca="false">IF(E38=0,"n.m.",F38/E38-1)</f>
        <v>0.14685991341467</v>
      </c>
      <c r="G40" s="23" t="n">
        <f aca="false">IF(F38=0,"n.m.",G38/F38-1)</f>
        <v>0.124385120999986</v>
      </c>
      <c r="H40" s="23" t="n">
        <f aca="false">IF(G38=0,"n.m.",H38/G38-1)</f>
        <v>0.0370720958745618</v>
      </c>
      <c r="I40" s="23" t="n">
        <f aca="false">IF(H38=0,"n.m.",I38/H38-1)</f>
        <v>-0.00466206365918864</v>
      </c>
    </row>
    <row r="41" customFormat="false" ht="15" hidden="false" customHeight="true" outlineLevel="0" collapsed="false">
      <c r="A41" s="9" t="s">
        <v>53</v>
      </c>
      <c r="B41" s="26" t="n">
        <v>356.042557464</v>
      </c>
      <c r="C41" s="26" t="n">
        <v>479.2367078785</v>
      </c>
      <c r="D41" s="26" t="n">
        <v>641.1516034385</v>
      </c>
      <c r="E41" s="27" t="n">
        <f aca="false">E42*E32</f>
        <v>584.735394</v>
      </c>
      <c r="F41" s="27" t="n">
        <f aca="false">F42*F32</f>
        <v>630.7355</v>
      </c>
      <c r="G41" s="27" t="n">
        <f aca="false">G42*G32</f>
        <v>675.605</v>
      </c>
      <c r="H41" s="27" t="n">
        <f aca="false">H42*H32</f>
        <v>691.432</v>
      </c>
      <c r="I41" s="27" t="n">
        <f aca="false">I42*I32</f>
        <v>688.2085</v>
      </c>
    </row>
    <row r="42" customFormat="false" ht="15" hidden="false" customHeight="true" outlineLevel="0" collapsed="false">
      <c r="A42" s="42" t="s">
        <v>52</v>
      </c>
      <c r="B42" s="22" t="n">
        <f aca="false">B41/B32</f>
        <v>0.0867098298603285</v>
      </c>
      <c r="C42" s="22" t="n">
        <f aca="false">C41/C32</f>
        <v>0.111111727737327</v>
      </c>
      <c r="D42" s="22" t="n">
        <f aca="false">D41/D32</f>
        <v>0.135527768595413</v>
      </c>
      <c r="E42" s="43" t="n">
        <v>0.15</v>
      </c>
      <c r="F42" s="43" t="n">
        <v>0.145</v>
      </c>
      <c r="G42" s="43" t="n">
        <v>0.14</v>
      </c>
      <c r="H42" s="43" t="n">
        <v>0.14</v>
      </c>
      <c r="I42" s="43" t="n">
        <v>0.14</v>
      </c>
    </row>
    <row r="43" customFormat="false" ht="15" hidden="false" customHeight="true" outlineLevel="0" collapsed="false">
      <c r="A43" s="42" t="s">
        <v>20</v>
      </c>
      <c r="C43" s="22" t="n">
        <f aca="false">IF(B41=0,"n.m.",C41/B41-1)</f>
        <v>0.346009621130632</v>
      </c>
      <c r="D43" s="22" t="n">
        <f aca="false">IF(C41=0,"n.m.",D41/C41-1)</f>
        <v>0.337859961263756</v>
      </c>
      <c r="E43" s="23" t="n">
        <f aca="false">IF(D41=0,"n.m.",E41/D41-1)</f>
        <v>-0.0879919961767849</v>
      </c>
      <c r="F43" s="23" t="n">
        <f aca="false">IF(E41=0,"n.m.",F41/E41-1)</f>
        <v>0.0786682428873116</v>
      </c>
      <c r="G43" s="23" t="n">
        <f aca="false">IF(F41=0,"n.m.",G41/F41-1)</f>
        <v>0.0711383773388372</v>
      </c>
      <c r="H43" s="23" t="n">
        <f aca="false">IF(G41=0,"n.m.",H41/G41-1)</f>
        <v>0.0234264104025284</v>
      </c>
      <c r="I43" s="23" t="n">
        <f aca="false">IF(H41=0,"n.m.",I41/H41-1)</f>
        <v>-0.00466206365918875</v>
      </c>
    </row>
    <row r="44" customFormat="false" ht="15" hidden="false" customHeight="true" outlineLevel="0" collapsed="false">
      <c r="A44" s="9" t="s">
        <v>54</v>
      </c>
      <c r="B44" s="26" t="n">
        <v>1168.9122480695</v>
      </c>
      <c r="C44" s="26" t="n">
        <v>1205.526610211</v>
      </c>
      <c r="D44" s="26" t="n">
        <v>1161.2207586155</v>
      </c>
      <c r="E44" s="27" t="n">
        <f aca="false">E45*E32</f>
        <v>740.6648324</v>
      </c>
      <c r="F44" s="27" t="n">
        <f aca="false">F45*F32</f>
        <v>935.2285</v>
      </c>
      <c r="G44" s="27" t="n">
        <f aca="false">G45*G32</f>
        <v>1085.79375</v>
      </c>
      <c r="H44" s="27" t="n">
        <f aca="false">H45*H32</f>
        <v>1111.23</v>
      </c>
      <c r="I44" s="27" t="n">
        <f aca="false">I45*I32</f>
        <v>1130.62825</v>
      </c>
    </row>
    <row r="45" customFormat="false" ht="15" hidden="false" customHeight="true" outlineLevel="0" collapsed="false">
      <c r="A45" s="42" t="s">
        <v>52</v>
      </c>
      <c r="B45" s="22" t="n">
        <f aca="false">B44/B32</f>
        <v>0.284674345880713</v>
      </c>
      <c r="C45" s="22" t="n">
        <f aca="false">C44/C32</f>
        <v>0.279503097930109</v>
      </c>
      <c r="D45" s="22" t="n">
        <f aca="false">D44/D32</f>
        <v>0.245460913484134</v>
      </c>
      <c r="E45" s="43" t="n">
        <v>0.19</v>
      </c>
      <c r="F45" s="43" t="n">
        <v>0.215</v>
      </c>
      <c r="G45" s="43" t="n">
        <v>0.225</v>
      </c>
      <c r="H45" s="43" t="n">
        <v>0.225</v>
      </c>
      <c r="I45" s="43" t="n">
        <v>0.23</v>
      </c>
    </row>
    <row r="46" customFormat="false" ht="15" hidden="false" customHeight="true" outlineLevel="0" collapsed="false">
      <c r="A46" s="42" t="s">
        <v>20</v>
      </c>
      <c r="C46" s="22" t="n">
        <f aca="false">IF(B44=0,"n.m.",C44/B44-1)</f>
        <v>0.0313234481048255</v>
      </c>
      <c r="D46" s="22" t="n">
        <f aca="false">IF(C44=0,"n.m.",D44/C44-1)</f>
        <v>-0.0367522800577128</v>
      </c>
      <c r="E46" s="23" t="n">
        <f aca="false">IF(D44=0,"n.m.",E44/D44-1)</f>
        <v>-0.362167075549803</v>
      </c>
      <c r="F46" s="23" t="n">
        <f aca="false">IF(E44=0,"n.m.",F44/E44-1)</f>
        <v>0.262687870530519</v>
      </c>
      <c r="G46" s="23" t="n">
        <f aca="false">IF(F44=0,"n.m.",G44/F44-1)</f>
        <v>0.160993008660451</v>
      </c>
      <c r="H46" s="23" t="n">
        <f aca="false">IF(G44=0,"n.m.",H44/G44-1)</f>
        <v>0.0234264104025281</v>
      </c>
      <c r="I46" s="23" t="n">
        <f aca="false">IF(H44=0,"n.m.",I44/H44-1)</f>
        <v>0.0174565571483851</v>
      </c>
    </row>
    <row r="47" customFormat="false" ht="15" hidden="false" customHeight="true" outlineLevel="0" collapsed="false">
      <c r="A47" s="9" t="s">
        <v>55</v>
      </c>
      <c r="B47" s="26" t="n">
        <v>701.234050968</v>
      </c>
      <c r="C47" s="26" t="n">
        <v>768.0079879395</v>
      </c>
      <c r="D47" s="26" t="n">
        <v>900.7047980425</v>
      </c>
      <c r="E47" s="27" t="n">
        <f aca="false">E48*E32</f>
        <v>799.1383718</v>
      </c>
      <c r="F47" s="27" t="n">
        <f aca="false">F48*F32</f>
        <v>782.982</v>
      </c>
      <c r="G47" s="27" t="n">
        <f aca="false">G48*G32</f>
        <v>820.3775</v>
      </c>
      <c r="H47" s="27" t="n">
        <f aca="false">H48*H32</f>
        <v>839.596</v>
      </c>
      <c r="I47" s="27" t="n">
        <f aca="false">I48*I32</f>
        <v>835.68175</v>
      </c>
    </row>
    <row r="48" customFormat="false" ht="15" hidden="false" customHeight="true" outlineLevel="0" collapsed="false">
      <c r="A48" s="42" t="s">
        <v>52</v>
      </c>
      <c r="B48" s="22" t="n">
        <f aca="false">B47/B32</f>
        <v>0.170777015210751</v>
      </c>
      <c r="C48" s="22" t="n">
        <f aca="false">C47/C32</f>
        <v>0.178063769016752</v>
      </c>
      <c r="D48" s="22" t="n">
        <f aca="false">D47/D32</f>
        <v>0.190392585446589</v>
      </c>
      <c r="E48" s="43" t="n">
        <v>0.205</v>
      </c>
      <c r="F48" s="43" t="n">
        <v>0.18</v>
      </c>
      <c r="G48" s="43" t="n">
        <v>0.17</v>
      </c>
      <c r="H48" s="43" t="n">
        <v>0.17</v>
      </c>
      <c r="I48" s="43" t="n">
        <v>0.17</v>
      </c>
    </row>
    <row r="49" customFormat="false" ht="15" hidden="false" customHeight="true" outlineLevel="0" collapsed="false">
      <c r="A49" s="42" t="s">
        <v>20</v>
      </c>
      <c r="C49" s="22" t="n">
        <f aca="false">IF(B47=0,"n.m.",C47/B47-1)</f>
        <v>0.0952234662297469</v>
      </c>
      <c r="D49" s="22" t="n">
        <f aca="false">IF(C47=0,"n.m.",D47/C47-1)</f>
        <v>0.172780507737965</v>
      </c>
      <c r="E49" s="23" t="n">
        <f aca="false">IF(D47=0,"n.m.",E47/D47-1)</f>
        <v>-0.112763278782609</v>
      </c>
      <c r="F49" s="23" t="n">
        <f aca="false">IF(E47=0,"n.m.",F47/E47-1)</f>
        <v>-0.0202172394295236</v>
      </c>
      <c r="G49" s="23" t="n">
        <f aca="false">IF(F47=0,"n.m.",G47/F47-1)</f>
        <v>0.0477603571985055</v>
      </c>
      <c r="H49" s="23" t="n">
        <f aca="false">IF(G47=0,"n.m.",H47/G47-1)</f>
        <v>0.0234264104025281</v>
      </c>
      <c r="I49" s="23" t="n">
        <f aca="false">IF(H47=0,"n.m.",I47/H47-1)</f>
        <v>-0.00466206365918864</v>
      </c>
    </row>
    <row r="50" customFormat="false" ht="15" hidden="false" customHeight="true" outlineLevel="0" collapsed="false">
      <c r="A50" s="9" t="s">
        <v>56</v>
      </c>
      <c r="B50" s="26" t="n">
        <v>480.6569206615</v>
      </c>
      <c r="C50" s="26" t="n">
        <v>351.0186212335</v>
      </c>
      <c r="D50" s="26" t="n">
        <v>216.7420238775</v>
      </c>
      <c r="E50" s="27" t="n">
        <f aca="false">E51*E32</f>
        <v>194.911798</v>
      </c>
      <c r="F50" s="27" t="n">
        <f aca="false">F51*F32</f>
        <v>217.495</v>
      </c>
      <c r="G50" s="27" t="n">
        <f aca="false">G51*G32</f>
        <v>241.2875</v>
      </c>
      <c r="H50" s="27" t="n">
        <f aca="false">H51*H32</f>
        <v>246.94</v>
      </c>
      <c r="I50" s="27" t="n">
        <f aca="false">I51*I32</f>
        <v>221.209875</v>
      </c>
    </row>
    <row r="51" customFormat="false" ht="15" hidden="false" customHeight="true" outlineLevel="0" collapsed="false">
      <c r="A51" s="42" t="s">
        <v>52</v>
      </c>
      <c r="B51" s="22" t="n">
        <f aca="false">B50/B32</f>
        <v>0.117058140770046</v>
      </c>
      <c r="C51" s="22" t="n">
        <f aca="false">C50/C32</f>
        <v>0.0813841778645987</v>
      </c>
      <c r="D51" s="22" t="n">
        <f aca="false">D50/D32</f>
        <v>0.0458153152849269</v>
      </c>
      <c r="E51" s="43" t="n">
        <v>0.05</v>
      </c>
      <c r="F51" s="43" t="n">
        <v>0.05</v>
      </c>
      <c r="G51" s="43" t="n">
        <v>0.05</v>
      </c>
      <c r="H51" s="43" t="n">
        <v>0.05</v>
      </c>
      <c r="I51" s="43" t="n">
        <v>0.045</v>
      </c>
    </row>
    <row r="52" customFormat="false" ht="15" hidden="false" customHeight="true" outlineLevel="0" collapsed="false">
      <c r="A52" s="42" t="s">
        <v>20</v>
      </c>
      <c r="C52" s="22" t="n">
        <f aca="false">IF(B50=0,"n.m.",C50/B50-1)</f>
        <v>-0.269710668577468</v>
      </c>
      <c r="D52" s="22" t="n">
        <f aca="false">IF(C50=0,"n.m.",D50/C50-1)</f>
        <v>-0.382534114241986</v>
      </c>
      <c r="E52" s="23" t="n">
        <f aca="false">IF(D50=0,"n.m.",E50/D50-1)</f>
        <v>-0.100719858045794</v>
      </c>
      <c r="F52" s="23" t="n">
        <f aca="false">IF(E50=0,"n.m.",F50/E50-1)</f>
        <v>0.115863699538598</v>
      </c>
      <c r="G52" s="23" t="n">
        <f aca="false">IF(F50=0,"n.m.",G50/F50-1)</f>
        <v>0.109393319386653</v>
      </c>
      <c r="H52" s="23" t="n">
        <f aca="false">IF(G50=0,"n.m.",H50/G50-1)</f>
        <v>0.0234264104025281</v>
      </c>
      <c r="I52" s="23" t="n">
        <f aca="false">IF(H50=0,"n.m.",I50/H50-1)</f>
        <v>-0.10419585729327</v>
      </c>
    </row>
    <row r="53" customFormat="false" ht="15" hidden="false" customHeight="true" outlineLevel="0" collapsed="false">
      <c r="A53" s="9" t="s">
        <v>57</v>
      </c>
      <c r="B53" s="26" t="n">
        <v>21.212766212</v>
      </c>
      <c r="C53" s="26" t="n">
        <v>23.569149219</v>
      </c>
      <c r="D53" s="26" t="n">
        <v>0</v>
      </c>
      <c r="E53" s="27" t="n">
        <f aca="false">E54*E32</f>
        <v>116.9470788</v>
      </c>
      <c r="F53" s="27" t="n">
        <f aca="false">F54*F32</f>
        <v>108.7475</v>
      </c>
      <c r="G53" s="27" t="n">
        <f aca="false">G54*G32</f>
        <v>120.64375</v>
      </c>
      <c r="H53" s="27" t="n">
        <f aca="false">H54*H32</f>
        <v>98.776</v>
      </c>
      <c r="I53" s="27" t="n">
        <f aca="false">I54*I32</f>
        <v>98.3155</v>
      </c>
    </row>
    <row r="54" customFormat="false" ht="15" hidden="false" customHeight="true" outlineLevel="0" collapsed="false">
      <c r="A54" s="42" t="s">
        <v>52</v>
      </c>
      <c r="B54" s="22" t="n">
        <f aca="false">B53/B32</f>
        <v>0.0051661109340712</v>
      </c>
      <c r="C54" s="22" t="n">
        <f aca="false">C53/C32</f>
        <v>0.00546454152607589</v>
      </c>
      <c r="D54" s="22" t="n">
        <f aca="false">D53/D32</f>
        <v>0</v>
      </c>
      <c r="E54" s="43" t="n">
        <v>0.03</v>
      </c>
      <c r="F54" s="43" t="n">
        <v>0.025</v>
      </c>
      <c r="G54" s="43" t="n">
        <v>0.025</v>
      </c>
      <c r="H54" s="43" t="n">
        <v>0.02</v>
      </c>
      <c r="I54" s="43" t="n">
        <v>0.02</v>
      </c>
    </row>
    <row r="55" customFormat="false" ht="15" hidden="false" customHeight="true" outlineLevel="0" collapsed="false">
      <c r="A55" s="42" t="s">
        <v>20</v>
      </c>
      <c r="C55" s="22" t="n">
        <f aca="false">IF(B53=0,"n.m.",C53/B53-1)</f>
        <v>0.111083249749248</v>
      </c>
      <c r="D55" s="22" t="n">
        <f aca="false">IF(C53=0,"n.m.",D53/C53-1)</f>
        <v>-1</v>
      </c>
      <c r="E55" s="23" t="str">
        <f aca="false">IF(D53=0,"n.m.",E53/D53-1)</f>
        <v>n.m.</v>
      </c>
      <c r="F55" s="23" t="n">
        <f aca="false">IF(E53=0,"n.m.",F53/E53-1)</f>
        <v>-0.0701135837178347</v>
      </c>
      <c r="G55" s="23" t="n">
        <f aca="false">IF(F53=0,"n.m.",G53/F53-1)</f>
        <v>0.109393319386653</v>
      </c>
      <c r="H55" s="23" t="n">
        <f aca="false">IF(G53=0,"n.m.",H53/G53-1)</f>
        <v>-0.181258871677978</v>
      </c>
      <c r="I55" s="23" t="n">
        <f aca="false">IF(H53=0,"n.m.",I53/H53-1)</f>
        <v>-0.00466206365918853</v>
      </c>
    </row>
    <row r="56" customFormat="false" ht="15" hidden="false" customHeight="true" outlineLevel="0" collapsed="false">
      <c r="A56" s="9" t="s">
        <v>58</v>
      </c>
      <c r="B56" s="26" t="n">
        <v>0</v>
      </c>
      <c r="C56" s="26" t="n">
        <v>0</v>
      </c>
      <c r="D56" s="26" t="n">
        <v>0</v>
      </c>
      <c r="E56" s="27" t="n">
        <f aca="false">E57*E32</f>
        <v>38.9823596</v>
      </c>
      <c r="F56" s="27" t="n">
        <f aca="false">F57*F32</f>
        <v>43.499</v>
      </c>
      <c r="G56" s="27" t="n">
        <f aca="false">G57*G32</f>
        <v>48.2575</v>
      </c>
      <c r="H56" s="27" t="n">
        <f aca="false">H57*H32</f>
        <v>49.388</v>
      </c>
      <c r="I56" s="27" t="n">
        <f aca="false">I57*I32</f>
        <v>49.15775</v>
      </c>
    </row>
    <row r="57" customFormat="false" ht="15" hidden="false" customHeight="true" outlineLevel="0" collapsed="false">
      <c r="A57" s="42" t="s">
        <v>52</v>
      </c>
      <c r="B57" s="22" t="n">
        <f aca="false">B56/B32</f>
        <v>0</v>
      </c>
      <c r="C57" s="22" t="n">
        <f aca="false">C56/C32</f>
        <v>0</v>
      </c>
      <c r="D57" s="22" t="n">
        <f aca="false">D56/D32</f>
        <v>0</v>
      </c>
      <c r="E57" s="43" t="n">
        <v>0.01</v>
      </c>
      <c r="F57" s="43" t="n">
        <v>0.01</v>
      </c>
      <c r="G57" s="43" t="n">
        <v>0.01</v>
      </c>
      <c r="H57" s="43" t="n">
        <v>0.01</v>
      </c>
      <c r="I57" s="43" t="n">
        <v>0.01</v>
      </c>
    </row>
    <row r="58" customFormat="false" ht="15" hidden="false" customHeight="true" outlineLevel="0" collapsed="false">
      <c r="A58" s="42" t="s">
        <v>20</v>
      </c>
      <c r="C58" s="22" t="str">
        <f aca="false">IF(B56=0,"n.m.",C56/B56-1)</f>
        <v>n.m.</v>
      </c>
      <c r="D58" s="22" t="str">
        <f aca="false">IF(C56=0,"n.m.",D56/C56-1)</f>
        <v>n.m.</v>
      </c>
      <c r="E58" s="23" t="str">
        <f aca="false">IF(D56=0,"n.m.",E56/D56-1)</f>
        <v>n.m.</v>
      </c>
      <c r="F58" s="23" t="n">
        <f aca="false">IF(E56=0,"n.m.",F56/E56-1)</f>
        <v>0.115863699538598</v>
      </c>
      <c r="G58" s="23" t="n">
        <f aca="false">IF(F56=0,"n.m.",G56/F56-1)</f>
        <v>0.109393319386653</v>
      </c>
      <c r="H58" s="23" t="n">
        <f aca="false">IF(G56=0,"n.m.",H56/G56-1)</f>
        <v>0.0234264104025281</v>
      </c>
      <c r="I58" s="23" t="n">
        <f aca="false">IF(H56=0,"n.m.",I56/H56-1)</f>
        <v>-0.00466206365918853</v>
      </c>
    </row>
    <row r="59" customFormat="false" ht="15" hidden="false" customHeight="true" outlineLevel="0" collapsed="false">
      <c r="A59" s="9" t="s">
        <v>59</v>
      </c>
      <c r="B59" s="26" t="n">
        <v>-5.7632979415</v>
      </c>
      <c r="C59" s="26" t="n">
        <v>17.744681064</v>
      </c>
      <c r="D59" s="26" t="n">
        <v>3.281914933</v>
      </c>
      <c r="E59" s="27" t="n">
        <f aca="false">E60*E32</f>
        <v>19.4911798</v>
      </c>
      <c r="F59" s="27" t="n">
        <f aca="false">F60*F32</f>
        <v>21.7495</v>
      </c>
      <c r="G59" s="27" t="n">
        <f aca="false">G60*G32</f>
        <v>24.12875</v>
      </c>
      <c r="H59" s="27" t="n">
        <f aca="false">H60*H32</f>
        <v>24.694</v>
      </c>
      <c r="I59" s="27" t="n">
        <f aca="false">I60*I32</f>
        <v>24.578875</v>
      </c>
    </row>
    <row r="60" customFormat="false" ht="15" hidden="false" customHeight="true" outlineLevel="0" collapsed="false">
      <c r="A60" s="42" t="s">
        <v>52</v>
      </c>
      <c r="B60" s="22" t="n">
        <f aca="false">B59/B32</f>
        <v>-0.00140358104239372</v>
      </c>
      <c r="C60" s="22" t="n">
        <f aca="false">C59/C32</f>
        <v>0.00411413011306458</v>
      </c>
      <c r="D60" s="22" t="n">
        <f aca="false">D59/D32</f>
        <v>0.000693737027567333</v>
      </c>
      <c r="E60" s="43" t="n">
        <v>0.005</v>
      </c>
      <c r="F60" s="43" t="n">
        <v>0.005</v>
      </c>
      <c r="G60" s="43" t="n">
        <v>0.005</v>
      </c>
      <c r="H60" s="43" t="n">
        <v>0.005</v>
      </c>
      <c r="I60" s="43" t="n">
        <v>0.005</v>
      </c>
    </row>
    <row r="61" customFormat="false" ht="15" hidden="false" customHeight="true" outlineLevel="0" collapsed="false">
      <c r="A61" s="42" t="s">
        <v>20</v>
      </c>
      <c r="C61" s="22" t="n">
        <f aca="false">IF(B59=0,"n.m.",C59/B59-1)</f>
        <v>-4.07891093677896</v>
      </c>
      <c r="D61" s="22" t="n">
        <f aca="false">IF(C59=0,"n.m.",D59/C59-1)</f>
        <v>-0.815047961630696</v>
      </c>
      <c r="E61" s="23" t="n">
        <f aca="false">IF(D59=0,"n.m.",E59/D59-1)</f>
        <v>4.93896557281669</v>
      </c>
      <c r="F61" s="23" t="n">
        <f aca="false">IF(E59=0,"n.m.",F59/E59-1)</f>
        <v>0.115863699538598</v>
      </c>
      <c r="G61" s="23" t="n">
        <f aca="false">IF(F59=0,"n.m.",G59/F59-1)</f>
        <v>0.109393319386653</v>
      </c>
      <c r="H61" s="23" t="n">
        <f aca="false">IF(G59=0,"n.m.",H59/G59-1)</f>
        <v>0.0234264104025281</v>
      </c>
      <c r="I61" s="23" t="n">
        <f aca="false">IF(H59=0,"n.m.",I59/H59-1)</f>
        <v>-0.00466206365918853</v>
      </c>
    </row>
    <row r="62" customFormat="false" ht="15" hidden="false" customHeight="true" outlineLevel="0" collapsed="false">
      <c r="A62" s="19" t="s">
        <v>60</v>
      </c>
      <c r="B62" s="35" t="n">
        <f aca="false">B38+B41+B44+B47+B50+B53+B56+B59</f>
        <v>4106.138347146</v>
      </c>
      <c r="C62" s="35" t="n">
        <f aca="false">C38+C41+C44+C47+C50+C53+C56+C59</f>
        <v>4313.106434736</v>
      </c>
      <c r="D62" s="35" t="n">
        <f aca="false">D38+D41+D44+D47+D50+D53+D56+D59</f>
        <v>4730.776652514</v>
      </c>
      <c r="E62" s="36" t="n">
        <f aca="false">E38+E41+E44+E47+E50+E53+E56+E59</f>
        <v>3898.23596</v>
      </c>
      <c r="F62" s="36" t="n">
        <f aca="false">F38+F41+F44+F47+F50+F53+F56+F59</f>
        <v>4349.9</v>
      </c>
      <c r="G62" s="36" t="n">
        <f aca="false">G38+G41+G44+G47+G50+G53+G56+G59</f>
        <v>4825.75</v>
      </c>
      <c r="H62" s="36" t="n">
        <f aca="false">H38+H41+H44+H47+H50+H53+H56+H59</f>
        <v>4938.8</v>
      </c>
      <c r="I62" s="36" t="n">
        <f aca="false">I38+I41+I44+I47+I50+I53+I56+I59</f>
        <v>4915.775</v>
      </c>
    </row>
    <row r="63" customFormat="false" ht="15" hidden="false" customHeight="true" outlineLevel="0" collapsed="false">
      <c r="A63" s="16" t="s">
        <v>61</v>
      </c>
      <c r="B63" s="39" t="n">
        <f aca="false">ROUND(B62-B32,6)</f>
        <v>0</v>
      </c>
      <c r="C63" s="39" t="n">
        <f aca="false">ROUND(C62-C32,6)</f>
        <v>0</v>
      </c>
      <c r="D63" s="39" t="n">
        <f aca="false">ROUND(D62-D32,6)</f>
        <v>0</v>
      </c>
      <c r="E63" s="44" t="n">
        <f aca="false">ROUND(E62-E32,6)</f>
        <v>0</v>
      </c>
      <c r="F63" s="44" t="n">
        <f aca="false">ROUND(F62-F32,6)</f>
        <v>0</v>
      </c>
      <c r="G63" s="44" t="n">
        <f aca="false">ROUND(G62-G32,6)</f>
        <v>0</v>
      </c>
      <c r="H63" s="44" t="n">
        <f aca="false">ROUND(H62-H32,6)</f>
        <v>0</v>
      </c>
      <c r="I63" s="44" t="n">
        <f aca="false">ROUND(I62-I32,6)</f>
        <v>0</v>
      </c>
    </row>
    <row r="64" customFormat="false" ht="15" hidden="false" customHeight="true" outlineLevel="0" collapsed="false">
      <c r="A64" s="16" t="s">
        <v>62</v>
      </c>
      <c r="B64" s="39" t="n">
        <f aca="false">B38+B41+B44+B47</f>
        <v>3610.031958214</v>
      </c>
      <c r="C64" s="39" t="n">
        <f aca="false">C38+C41+C44+C47</f>
        <v>3920.7739832195</v>
      </c>
      <c r="D64" s="39" t="n">
        <f aca="false">D38+D41+D44+D47</f>
        <v>4510.7527137035</v>
      </c>
      <c r="E64" s="44" t="n">
        <f aca="false">E38+E41+E44+E47</f>
        <v>3527.9035438</v>
      </c>
      <c r="F64" s="44" t="n">
        <f aca="false">F38+F41+F44+F47</f>
        <v>3958.409</v>
      </c>
      <c r="G64" s="44" t="n">
        <f aca="false">G38+G41+G44+G47</f>
        <v>4391.4325</v>
      </c>
      <c r="H64" s="44" t="n">
        <f aca="false">H38+H41+H44+H47</f>
        <v>4519.002</v>
      </c>
      <c r="I64" s="44" t="n">
        <f aca="false">I38+I41+I44+I47</f>
        <v>4522.513</v>
      </c>
    </row>
    <row r="65" customFormat="false" ht="15" hidden="false" customHeight="true" outlineLevel="0" collapsed="false">
      <c r="A65" s="28" t="s">
        <v>63</v>
      </c>
      <c r="B65" s="45" t="n">
        <f aca="false">B64/B62</f>
        <v>0.879179329338277</v>
      </c>
      <c r="C65" s="45" t="n">
        <f aca="false">C64/C62</f>
        <v>0.909037150496261</v>
      </c>
      <c r="D65" s="45" t="n">
        <f aca="false">D64/D62</f>
        <v>0.953490947687506</v>
      </c>
      <c r="E65" s="46" t="n">
        <f aca="false">E64/E62</f>
        <v>0.905</v>
      </c>
      <c r="F65" s="46" t="n">
        <f aca="false">F64/F62</f>
        <v>0.91</v>
      </c>
      <c r="G65" s="46" t="n">
        <f aca="false">G64/G62</f>
        <v>0.91</v>
      </c>
      <c r="H65" s="46" t="n">
        <f aca="false">H64/H62</f>
        <v>0.915</v>
      </c>
      <c r="I65" s="46" t="n">
        <f aca="false">I64/I62</f>
        <v>0.92</v>
      </c>
    </row>
    <row r="67" customFormat="false" ht="15" hidden="false" customHeight="true" outlineLevel="0" collapsed="false">
      <c r="A67" s="6" t="s">
        <v>64</v>
      </c>
      <c r="B67" s="7"/>
      <c r="C67" s="7"/>
      <c r="D67" s="7"/>
      <c r="E67" s="7"/>
      <c r="F67" s="7"/>
      <c r="G67" s="7"/>
      <c r="H67" s="7"/>
      <c r="I67" s="7"/>
      <c r="K67" s="8" t="s">
        <v>65</v>
      </c>
    </row>
    <row r="68" customFormat="false" ht="15" hidden="false" customHeight="true" outlineLevel="0" collapsed="false">
      <c r="A68" s="9" t="s">
        <v>66</v>
      </c>
      <c r="B68" s="26" t="n">
        <v>977.9441606715</v>
      </c>
      <c r="C68" s="26" t="n">
        <v>1093.8005450405</v>
      </c>
      <c r="D68" s="26" t="n">
        <v>1297.478738974</v>
      </c>
      <c r="E68" s="27" t="n">
        <f aca="false">E69*E32</f>
        <v>1286.4178668</v>
      </c>
      <c r="F68" s="27" t="n">
        <f aca="false">F69*F32</f>
        <v>1304.97</v>
      </c>
      <c r="G68" s="27" t="n">
        <f aca="false">G69*G32</f>
        <v>1375.33875</v>
      </c>
      <c r="H68" s="27" t="n">
        <f aca="false">H69*H32</f>
        <v>1382.864</v>
      </c>
      <c r="I68" s="27" t="n">
        <f aca="false">I69*I32</f>
        <v>1351.838125</v>
      </c>
    </row>
    <row r="69" customFormat="false" ht="15" hidden="false" customHeight="true" outlineLevel="0" collapsed="false">
      <c r="A69" s="42" t="s">
        <v>52</v>
      </c>
      <c r="B69" s="22" t="n">
        <f aca="false">B68/B32</f>
        <v>0.238166393334318</v>
      </c>
      <c r="C69" s="22" t="n">
        <f aca="false">C68/C32</f>
        <v>0.253599247222716</v>
      </c>
      <c r="D69" s="22" t="n">
        <f aca="false">D68/D32</f>
        <v>0.274263368211328</v>
      </c>
      <c r="E69" s="43" t="n">
        <v>0.33</v>
      </c>
      <c r="F69" s="43" t="n">
        <v>0.3</v>
      </c>
      <c r="G69" s="43" t="n">
        <v>0.285</v>
      </c>
      <c r="H69" s="43" t="n">
        <v>0.28</v>
      </c>
      <c r="I69" s="43" t="n">
        <v>0.275</v>
      </c>
    </row>
    <row r="70" customFormat="false" ht="15" hidden="false" customHeight="true" outlineLevel="0" collapsed="false">
      <c r="A70" s="42" t="s">
        <v>20</v>
      </c>
      <c r="C70" s="22" t="n">
        <f aca="false">C68/B68-1</f>
        <v>0.118469324761291</v>
      </c>
      <c r="D70" s="22" t="n">
        <f aca="false">D68/C68-1</f>
        <v>0.186211457707729</v>
      </c>
      <c r="E70" s="23" t="n">
        <f aca="false">E68/D68-1</f>
        <v>-0.0085248966643926</v>
      </c>
      <c r="F70" s="23" t="n">
        <f aca="false">F68/E68-1</f>
        <v>0.0144215450350893</v>
      </c>
      <c r="G70" s="23" t="n">
        <f aca="false">G68/F68-1</f>
        <v>0.05392365341732</v>
      </c>
      <c r="H70" s="23" t="n">
        <f aca="false">H68/G68-1</f>
        <v>0.00547156109722091</v>
      </c>
      <c r="I70" s="23" t="n">
        <f aca="false">I68/H68-1</f>
        <v>-0.0224359553795603</v>
      </c>
    </row>
    <row r="71" customFormat="false" ht="15" hidden="false" customHeight="true" outlineLevel="0" collapsed="false">
      <c r="A71" s="9" t="s">
        <v>67</v>
      </c>
      <c r="B71" s="26" t="n">
        <v>1007.92554401</v>
      </c>
      <c r="C71" s="26" t="n">
        <v>1219.6888444235</v>
      </c>
      <c r="D71" s="26" t="n">
        <v>1265.005334329</v>
      </c>
      <c r="E71" s="27" t="n">
        <f aca="false">E72*E32</f>
        <v>857.6119112</v>
      </c>
      <c r="F71" s="27" t="n">
        <f aca="false">F72*F32</f>
        <v>1043.976</v>
      </c>
      <c r="G71" s="27" t="n">
        <f aca="false">G72*G32</f>
        <v>1206.4375</v>
      </c>
      <c r="H71" s="27" t="n">
        <f aca="false">H72*H32</f>
        <v>1259.394</v>
      </c>
      <c r="I71" s="27" t="n">
        <f aca="false">I72*I32</f>
        <v>1278.1015</v>
      </c>
    </row>
    <row r="72" customFormat="false" ht="15" hidden="false" customHeight="true" outlineLevel="0" collapsed="false">
      <c r="A72" s="42" t="s">
        <v>52</v>
      </c>
      <c r="B72" s="22" t="n">
        <f aca="false">B71/B32</f>
        <v>0.245467994206909</v>
      </c>
      <c r="C72" s="22" t="n">
        <f aca="false">C71/C32</f>
        <v>0.282786632530239</v>
      </c>
      <c r="D72" s="22" t="n">
        <f aca="false">D71/D32</f>
        <v>0.267399082063356</v>
      </c>
      <c r="E72" s="43" t="n">
        <v>0.22</v>
      </c>
      <c r="F72" s="43" t="n">
        <v>0.24</v>
      </c>
      <c r="G72" s="43" t="n">
        <v>0.25</v>
      </c>
      <c r="H72" s="43" t="n">
        <v>0.255</v>
      </c>
      <c r="I72" s="43" t="n">
        <v>0.26</v>
      </c>
    </row>
    <row r="73" customFormat="false" ht="15" hidden="false" customHeight="true" outlineLevel="0" collapsed="false">
      <c r="A73" s="42" t="s">
        <v>20</v>
      </c>
      <c r="C73" s="22" t="n">
        <f aca="false">C71/B71-1</f>
        <v>0.210098158214154</v>
      </c>
      <c r="D73" s="22" t="n">
        <f aca="false">D71/C71-1</f>
        <v>0.0371541398551689</v>
      </c>
      <c r="E73" s="23" t="n">
        <f aca="false">E71/D71-1</f>
        <v>-0.322048778825976</v>
      </c>
      <c r="F73" s="23" t="n">
        <f aca="false">F71/E71-1</f>
        <v>0.217305854042107</v>
      </c>
      <c r="G73" s="23" t="n">
        <f aca="false">G71/F71-1</f>
        <v>0.155618041027763</v>
      </c>
      <c r="H73" s="23" t="n">
        <f aca="false">H71/G71-1</f>
        <v>0.0438949386105787</v>
      </c>
      <c r="I73" s="23" t="n">
        <f aca="false">I71/H71-1</f>
        <v>0.0148543664651413</v>
      </c>
    </row>
    <row r="74" customFormat="false" ht="15" hidden="false" customHeight="true" outlineLevel="0" collapsed="false">
      <c r="A74" s="9" t="s">
        <v>68</v>
      </c>
      <c r="B74" s="26" t="n">
        <v>856.5239464485</v>
      </c>
      <c r="C74" s="26" t="n">
        <v>693.5186253435</v>
      </c>
      <c r="D74" s="26" t="n">
        <v>791.0239456625</v>
      </c>
      <c r="E74" s="27" t="n">
        <f aca="false">E75*E32</f>
        <v>877.103091</v>
      </c>
      <c r="F74" s="27" t="n">
        <f aca="false">F75*F32</f>
        <v>826.481</v>
      </c>
      <c r="G74" s="27" t="n">
        <f aca="false">G75*G32</f>
        <v>844.50625</v>
      </c>
      <c r="H74" s="27" t="n">
        <f aca="false">H75*H32</f>
        <v>839.596</v>
      </c>
      <c r="I74" s="27" t="n">
        <f aca="false">I75*I32</f>
        <v>835.68175</v>
      </c>
    </row>
    <row r="75" customFormat="false" ht="15" hidden="false" customHeight="true" outlineLevel="0" collapsed="false">
      <c r="A75" s="42" t="s">
        <v>52</v>
      </c>
      <c r="B75" s="22" t="n">
        <f aca="false">B74/B32</f>
        <v>0.208595978516855</v>
      </c>
      <c r="C75" s="22" t="n">
        <f aca="false">C74/C32</f>
        <v>0.160793301959391</v>
      </c>
      <c r="D75" s="22" t="n">
        <f aca="false">D74/D32</f>
        <v>0.167208051397256</v>
      </c>
      <c r="E75" s="43" t="n">
        <v>0.225</v>
      </c>
      <c r="F75" s="43" t="n">
        <v>0.19</v>
      </c>
      <c r="G75" s="43" t="n">
        <v>0.175</v>
      </c>
      <c r="H75" s="43" t="n">
        <v>0.17</v>
      </c>
      <c r="I75" s="43" t="n">
        <v>0.17</v>
      </c>
    </row>
    <row r="76" customFormat="false" ht="15" hidden="false" customHeight="true" outlineLevel="0" collapsed="false">
      <c r="A76" s="42" t="s">
        <v>20</v>
      </c>
      <c r="C76" s="22" t="n">
        <f aca="false">C74/B74-1</f>
        <v>-0.19031029054224</v>
      </c>
      <c r="D76" s="22" t="n">
        <f aca="false">D74/C74-1</f>
        <v>0.140595099764921</v>
      </c>
      <c r="E76" s="23" t="n">
        <f aca="false">E74/D74-1</f>
        <v>0.108819898322303</v>
      </c>
      <c r="F76" s="23" t="n">
        <f aca="false">F74/E74-1</f>
        <v>-0.0577150981674058</v>
      </c>
      <c r="G76" s="23" t="n">
        <f aca="false">G74/F74-1</f>
        <v>0.0218096362771798</v>
      </c>
      <c r="H76" s="23" t="n">
        <f aca="false">H74/G74-1</f>
        <v>-0.00581434418040105</v>
      </c>
      <c r="I76" s="23" t="n">
        <f aca="false">I74/H74-1</f>
        <v>-0.00466206365918864</v>
      </c>
    </row>
    <row r="77" customFormat="false" ht="15" hidden="false" customHeight="true" outlineLevel="0" collapsed="false">
      <c r="A77" s="9" t="s">
        <v>69</v>
      </c>
      <c r="B77" s="26" t="n">
        <v>606.96809239</v>
      </c>
      <c r="C77" s="26" t="n">
        <v>654.829795092</v>
      </c>
      <c r="D77" s="26" t="n">
        <v>526.5664956805</v>
      </c>
      <c r="E77" s="27" t="n">
        <f aca="false">E78*E32</f>
        <v>350.8412364</v>
      </c>
      <c r="F77" s="27" t="n">
        <f aca="false">F78*F32</f>
        <v>478.489</v>
      </c>
      <c r="G77" s="27" t="n">
        <f aca="false">G78*G32</f>
        <v>579.09</v>
      </c>
      <c r="H77" s="27" t="n">
        <f aca="false">H78*H32</f>
        <v>592.656</v>
      </c>
      <c r="I77" s="27" t="n">
        <f aca="false">I78*I32</f>
        <v>589.893</v>
      </c>
    </row>
    <row r="78" customFormat="false" ht="15" hidden="false" customHeight="true" outlineLevel="0" collapsed="false">
      <c r="A78" s="42" t="s">
        <v>52</v>
      </c>
      <c r="B78" s="22" t="n">
        <f aca="false">B77/B32</f>
        <v>0.14781968873793</v>
      </c>
      <c r="C78" s="22" t="n">
        <f aca="false">C77/C32</f>
        <v>0.15182324039543</v>
      </c>
      <c r="D78" s="22" t="n">
        <f aca="false">D77/D32</f>
        <v>0.111306564303913</v>
      </c>
      <c r="E78" s="43" t="n">
        <v>0.09</v>
      </c>
      <c r="F78" s="43" t="n">
        <v>0.11</v>
      </c>
      <c r="G78" s="43" t="n">
        <v>0.12</v>
      </c>
      <c r="H78" s="43" t="n">
        <v>0.12</v>
      </c>
      <c r="I78" s="43" t="n">
        <v>0.12</v>
      </c>
    </row>
    <row r="79" customFormat="false" ht="15" hidden="false" customHeight="true" outlineLevel="0" collapsed="false">
      <c r="A79" s="42" t="s">
        <v>20</v>
      </c>
      <c r="C79" s="22" t="n">
        <f aca="false">C77/B77-1</f>
        <v>0.0788537376215932</v>
      </c>
      <c r="D79" s="22" t="n">
        <f aca="false">D77/C77-1</f>
        <v>-0.195872729635767</v>
      </c>
      <c r="E79" s="23" t="n">
        <f aca="false">E77/D77-1</f>
        <v>-0.333719028312662</v>
      </c>
      <c r="F79" s="23" t="n">
        <f aca="false">F77/E77-1</f>
        <v>0.363833410547176</v>
      </c>
      <c r="G79" s="23" t="n">
        <f aca="false">G77/F77-1</f>
        <v>0.210247257512712</v>
      </c>
      <c r="H79" s="23" t="n">
        <f aca="false">H77/G77-1</f>
        <v>0.0234264104025279</v>
      </c>
      <c r="I79" s="23" t="n">
        <f aca="false">I77/H77-1</f>
        <v>-0.00466206365918853</v>
      </c>
    </row>
    <row r="80" customFormat="false" ht="15" hidden="false" customHeight="true" outlineLevel="0" collapsed="false">
      <c r="A80" s="9" t="s">
        <v>70</v>
      </c>
      <c r="B80" s="26" t="n">
        <v>656.776603626</v>
      </c>
      <c r="C80" s="26" t="n">
        <v>651.2686248365</v>
      </c>
      <c r="D80" s="26" t="n">
        <v>850.702137868</v>
      </c>
      <c r="E80" s="27" t="n">
        <f aca="false">E81*E32</f>
        <v>526.2618546</v>
      </c>
      <c r="F80" s="27" t="n">
        <f aca="false">F81*F32</f>
        <v>695.984</v>
      </c>
      <c r="G80" s="27" t="n">
        <f aca="false">G81*G32</f>
        <v>820.3775</v>
      </c>
      <c r="H80" s="27" t="n">
        <f aca="false">H81*H32</f>
        <v>864.29</v>
      </c>
      <c r="I80" s="27" t="n">
        <f aca="false">I81*I32</f>
        <v>860.260625</v>
      </c>
    </row>
    <row r="81" customFormat="false" ht="15" hidden="false" customHeight="true" outlineLevel="0" collapsed="false">
      <c r="A81" s="42" t="s">
        <v>52</v>
      </c>
      <c r="B81" s="22" t="n">
        <f aca="false">B80/B32</f>
        <v>0.159949945203989</v>
      </c>
      <c r="C81" s="22" t="n">
        <f aca="false">C80/C32</f>
        <v>0.150997577892224</v>
      </c>
      <c r="D81" s="22" t="n">
        <f aca="false">D80/D32</f>
        <v>0.179822934024147</v>
      </c>
      <c r="E81" s="43" t="n">
        <v>0.135</v>
      </c>
      <c r="F81" s="43" t="n">
        <v>0.16</v>
      </c>
      <c r="G81" s="43" t="n">
        <v>0.17</v>
      </c>
      <c r="H81" s="43" t="n">
        <v>0.175</v>
      </c>
      <c r="I81" s="43" t="n">
        <v>0.175</v>
      </c>
    </row>
    <row r="82" customFormat="false" ht="15" hidden="false" customHeight="true" outlineLevel="0" collapsed="false">
      <c r="A82" s="42" t="s">
        <v>20</v>
      </c>
      <c r="C82" s="22" t="n">
        <f aca="false">C80/B80-1</f>
        <v>-0.0083863809384972</v>
      </c>
      <c r="D82" s="22" t="n">
        <f aca="false">D80/C80-1</f>
        <v>0.306223124262385</v>
      </c>
      <c r="E82" s="23" t="n">
        <f aca="false">E80/D80-1</f>
        <v>-0.381379414516461</v>
      </c>
      <c r="F82" s="23" t="n">
        <f aca="false">F80/E80-1</f>
        <v>0.322505125379079</v>
      </c>
      <c r="G82" s="23" t="n">
        <f aca="false">G80/F80-1</f>
        <v>0.178730401848318</v>
      </c>
      <c r="H82" s="23" t="n">
        <f aca="false">H80/G80-1</f>
        <v>0.053527187179073</v>
      </c>
      <c r="I82" s="23" t="n">
        <f aca="false">I80/H80-1</f>
        <v>-0.00466206365918853</v>
      </c>
    </row>
    <row r="83" customFormat="false" ht="15" hidden="false" customHeight="true" outlineLevel="0" collapsed="false">
      <c r="A83" s="19" t="s">
        <v>71</v>
      </c>
      <c r="B83" s="35" t="n">
        <f aca="false">B68+B71+B74+B77+B80</f>
        <v>4106.138347146</v>
      </c>
      <c r="C83" s="35" t="n">
        <f aca="false">C68+C71+C74+C77+C80</f>
        <v>4313.106434736</v>
      </c>
      <c r="D83" s="35" t="n">
        <f aca="false">D68+D71+D74+D77+D80</f>
        <v>4730.776652514</v>
      </c>
      <c r="E83" s="36" t="n">
        <f aca="false">E68+E71+E74+E77+E80</f>
        <v>3898.23596</v>
      </c>
      <c r="F83" s="36" t="n">
        <f aca="false">F68+F71+F74+F77+F80</f>
        <v>4349.9</v>
      </c>
      <c r="G83" s="36" t="n">
        <f aca="false">G68+G71+G74+G77+G80</f>
        <v>4825.75</v>
      </c>
      <c r="H83" s="36" t="n">
        <f aca="false">H68+H71+H74+H77+H80</f>
        <v>4938.8</v>
      </c>
      <c r="I83" s="36" t="n">
        <f aca="false">I68+I71+I74+I77+I80</f>
        <v>4915.775</v>
      </c>
    </row>
    <row r="84" customFormat="false" ht="15" hidden="false" customHeight="true" outlineLevel="0" collapsed="false">
      <c r="A84" s="16" t="s">
        <v>61</v>
      </c>
      <c r="B84" s="39" t="n">
        <f aca="false">ROUND(B83-B32,6)</f>
        <v>0</v>
      </c>
      <c r="C84" s="39" t="n">
        <f aca="false">ROUND(C83-C32,6)</f>
        <v>0</v>
      </c>
      <c r="D84" s="39" t="n">
        <f aca="false">ROUND(D83-D32,6)</f>
        <v>0</v>
      </c>
      <c r="E84" s="44" t="n">
        <f aca="false">ROUND(E83-E32,6)</f>
        <v>0</v>
      </c>
      <c r="F84" s="44" t="n">
        <f aca="false">ROUND(F83-F32,6)</f>
        <v>0</v>
      </c>
      <c r="G84" s="44" t="n">
        <f aca="false">ROUND(G83-G32,6)</f>
        <v>0</v>
      </c>
      <c r="H84" s="44" t="n">
        <f aca="false">ROUND(H83-H32,6)</f>
        <v>0</v>
      </c>
      <c r="I84" s="44" t="n">
        <f aca="false">ROUND(I83-I32,6)</f>
        <v>0</v>
      </c>
    </row>
    <row r="85" customFormat="false" ht="15" hidden="false" customHeight="true" outlineLevel="0" collapsed="false">
      <c r="A85" s="28" t="s">
        <v>72</v>
      </c>
      <c r="B85" s="45" t="n">
        <f aca="false">1-B68/B32</f>
        <v>0.761833606665682</v>
      </c>
      <c r="C85" s="45" t="n">
        <f aca="false">1-C68/C32</f>
        <v>0.746400752777285</v>
      </c>
      <c r="D85" s="45" t="n">
        <f aca="false">1-D68/D32</f>
        <v>0.725736631788672</v>
      </c>
      <c r="E85" s="46" t="n">
        <f aca="false">1-E68/E32</f>
        <v>0.67</v>
      </c>
      <c r="F85" s="46" t="n">
        <f aca="false">1-F68/F32</f>
        <v>0.7</v>
      </c>
      <c r="G85" s="46" t="n">
        <f aca="false">1-G68/G32</f>
        <v>0.715</v>
      </c>
      <c r="H85" s="46" t="n">
        <f aca="false">1-H68/H32</f>
        <v>0.72</v>
      </c>
      <c r="I85" s="46" t="n">
        <f aca="false">1-I68/I32</f>
        <v>0.725</v>
      </c>
      <c r="K85" s="12" t="s">
        <v>73</v>
      </c>
    </row>
    <row r="87" customFormat="false" ht="15" hidden="false" customHeight="true" outlineLevel="0" collapsed="false">
      <c r="A87" s="6" t="s">
        <v>74</v>
      </c>
      <c r="B87" s="7"/>
      <c r="C87" s="7"/>
      <c r="D87" s="7"/>
      <c r="E87" s="7"/>
      <c r="F87" s="7"/>
      <c r="G87" s="7"/>
      <c r="H87" s="7"/>
      <c r="I87" s="7"/>
      <c r="K87" s="8" t="s">
        <v>75</v>
      </c>
    </row>
    <row r="88" customFormat="false" ht="15" hidden="false" customHeight="true" outlineLevel="0" collapsed="false">
      <c r="A88" s="47" t="s">
        <v>76</v>
      </c>
      <c r="B88" s="48" t="n">
        <v>0</v>
      </c>
      <c r="C88" s="48" t="n">
        <v>0</v>
      </c>
      <c r="D88" s="48" t="n">
        <v>0</v>
      </c>
      <c r="E88" s="49" t="n">
        <v>0</v>
      </c>
      <c r="F88" s="49" t="n">
        <v>1</v>
      </c>
      <c r="G88" s="49" t="n">
        <v>1</v>
      </c>
      <c r="H88" s="49" t="n">
        <v>1</v>
      </c>
      <c r="I88" s="49" t="n">
        <v>1</v>
      </c>
      <c r="K88" s="12" t="s">
        <v>77</v>
      </c>
    </row>
    <row r="89" customFormat="false" ht="15" hidden="false" customHeight="true" outlineLevel="0" collapsed="false">
      <c r="A89" s="47" t="s">
        <v>78</v>
      </c>
      <c r="B89" s="48" t="n">
        <v>0</v>
      </c>
      <c r="C89" s="48" t="n">
        <v>0</v>
      </c>
      <c r="D89" s="48" t="n">
        <v>0</v>
      </c>
      <c r="E89" s="49" t="n">
        <v>1</v>
      </c>
      <c r="F89" s="49" t="n">
        <v>0</v>
      </c>
      <c r="G89" s="49" t="n">
        <v>0</v>
      </c>
      <c r="H89" s="49" t="n">
        <v>0</v>
      </c>
      <c r="I89" s="49" t="n">
        <v>0</v>
      </c>
      <c r="K89" s="12" t="s">
        <v>79</v>
      </c>
    </row>
    <row r="90" customFormat="false" ht="15" hidden="false" customHeight="true" outlineLevel="0" collapsed="false">
      <c r="A90" s="13" t="s">
        <v>80</v>
      </c>
      <c r="B90" s="37" t="n">
        <v>0</v>
      </c>
      <c r="C90" s="37" t="n">
        <v>0</v>
      </c>
      <c r="D90" s="37" t="n">
        <v>0</v>
      </c>
      <c r="E90" s="38" t="n">
        <v>0</v>
      </c>
      <c r="F90" s="38" t="n">
        <v>300</v>
      </c>
      <c r="G90" s="38" t="n">
        <v>300</v>
      </c>
      <c r="H90" s="38" t="n">
        <v>300</v>
      </c>
      <c r="I90" s="38" t="n">
        <v>300</v>
      </c>
      <c r="K90" s="12" t="s">
        <v>81</v>
      </c>
    </row>
    <row r="91" customFormat="false" ht="15" hidden="false" customHeight="true" outlineLevel="0" collapsed="false">
      <c r="A91" s="13" t="s">
        <v>21</v>
      </c>
      <c r="B91" s="37" t="n">
        <v>0</v>
      </c>
      <c r="C91" s="37" t="n">
        <v>0</v>
      </c>
      <c r="D91" s="37" t="n">
        <v>0</v>
      </c>
      <c r="E91" s="38" t="n">
        <v>0</v>
      </c>
      <c r="F91" s="38" t="n">
        <v>295</v>
      </c>
      <c r="G91" s="38" t="n">
        <v>295</v>
      </c>
      <c r="H91" s="38" t="n">
        <v>295</v>
      </c>
      <c r="I91" s="38" t="n">
        <v>295</v>
      </c>
    </row>
    <row r="92" customFormat="false" ht="15" hidden="false" customHeight="true" outlineLevel="0" collapsed="false">
      <c r="A92" s="13" t="s">
        <v>82</v>
      </c>
      <c r="B92" s="10" t="n">
        <v>0</v>
      </c>
      <c r="C92" s="10" t="n">
        <v>0</v>
      </c>
      <c r="D92" s="10" t="n">
        <v>0</v>
      </c>
      <c r="E92" s="11" t="n">
        <v>0</v>
      </c>
      <c r="F92" s="11" t="n">
        <v>420</v>
      </c>
      <c r="G92" s="11" t="n">
        <v>400</v>
      </c>
      <c r="H92" s="11" t="n">
        <v>390</v>
      </c>
      <c r="I92" s="11" t="n">
        <v>385</v>
      </c>
      <c r="K92" s="12" t="s">
        <v>83</v>
      </c>
    </row>
    <row r="93" customFormat="false" ht="15" hidden="false" customHeight="true" outlineLevel="0" collapsed="false">
      <c r="A93" s="13" t="s">
        <v>84</v>
      </c>
      <c r="B93" s="50" t="n">
        <f aca="false">IF(B88=1,B19+B92,0)</f>
        <v>0</v>
      </c>
      <c r="C93" s="50" t="n">
        <f aca="false">IF(C88=1,C19+C92,0)</f>
        <v>0</v>
      </c>
      <c r="D93" s="50" t="n">
        <f aca="false">IF(D88=1,D19+D92,0)</f>
        <v>0</v>
      </c>
      <c r="E93" s="51" t="n">
        <f aca="false">IF(E88=1,E19+E92,0)</f>
        <v>0</v>
      </c>
      <c r="F93" s="51" t="n">
        <f aca="false">IF(F88=1,F19+F92,0)</f>
        <v>3470</v>
      </c>
      <c r="G93" s="51" t="n">
        <f aca="false">IF(G88=1,G19+G92,0)</f>
        <v>3300</v>
      </c>
      <c r="H93" s="51" t="n">
        <f aca="false">IF(H88=1,H19+H92,0)</f>
        <v>3190</v>
      </c>
      <c r="I93" s="51" t="n">
        <f aca="false">IF(I88=1,I19+I92,0)</f>
        <v>3135</v>
      </c>
    </row>
    <row r="94" customFormat="false" ht="15" hidden="false" customHeight="true" outlineLevel="0" collapsed="false">
      <c r="A94" s="19" t="s">
        <v>85</v>
      </c>
      <c r="B94" s="35" t="n">
        <f aca="false">B93*B91/1000</f>
        <v>0</v>
      </c>
      <c r="C94" s="35" t="n">
        <f aca="false">C93*C91/1000</f>
        <v>0</v>
      </c>
      <c r="D94" s="35" t="n">
        <f aca="false">D93*D91/1000</f>
        <v>0</v>
      </c>
      <c r="E94" s="36" t="n">
        <f aca="false">E93*E91/1000</f>
        <v>0</v>
      </c>
      <c r="F94" s="36" t="n">
        <f aca="false">F93*F91/1000</f>
        <v>1023.65</v>
      </c>
      <c r="G94" s="36" t="n">
        <f aca="false">G93*G91/1000</f>
        <v>973.5</v>
      </c>
      <c r="H94" s="36" t="n">
        <f aca="false">H93*H91/1000</f>
        <v>941.05</v>
      </c>
      <c r="I94" s="36" t="n">
        <f aca="false">I93*I91/1000</f>
        <v>924.825</v>
      </c>
    </row>
    <row r="95" customFormat="false" ht="15" hidden="false" customHeight="true" outlineLevel="0" collapsed="false">
      <c r="A95" s="13" t="s">
        <v>86</v>
      </c>
      <c r="B95" s="10" t="n">
        <v>0</v>
      </c>
      <c r="C95" s="10" t="n">
        <v>0</v>
      </c>
      <c r="D95" s="10" t="n">
        <v>0</v>
      </c>
      <c r="E95" s="11" t="n">
        <v>0</v>
      </c>
      <c r="F95" s="11" t="n">
        <v>2750</v>
      </c>
      <c r="G95" s="11" t="n">
        <v>2750</v>
      </c>
      <c r="H95" s="11" t="n">
        <v>2750</v>
      </c>
      <c r="I95" s="11" t="n">
        <v>2750</v>
      </c>
      <c r="K95" s="12" t="s">
        <v>87</v>
      </c>
    </row>
    <row r="96" customFormat="false" ht="15" hidden="false" customHeight="true" outlineLevel="0" collapsed="false">
      <c r="A96" s="19" t="s">
        <v>88</v>
      </c>
      <c r="B96" s="35" t="n">
        <f aca="false">IF(B88=1,(B93-B95)*B91/1000,0)</f>
        <v>0</v>
      </c>
      <c r="C96" s="35" t="n">
        <f aca="false">IF(C88=1,(C93-C95)*C91/1000,0)</f>
        <v>0</v>
      </c>
      <c r="D96" s="35" t="n">
        <f aca="false">IF(D88=1,(D93-D95)*D91/1000,0)</f>
        <v>0</v>
      </c>
      <c r="E96" s="36" t="n">
        <f aca="false">IF(E88=1,(E93-E95)*E91/1000,0)</f>
        <v>0</v>
      </c>
      <c r="F96" s="36" t="n">
        <f aca="false">IF(F88=1,(F93-F95)*F91/1000,0)</f>
        <v>212.4</v>
      </c>
      <c r="G96" s="36" t="n">
        <f aca="false">IF(G88=1,(G93-G95)*G91/1000,0)</f>
        <v>162.25</v>
      </c>
      <c r="H96" s="36" t="n">
        <f aca="false">IF(H88=1,(H93-H95)*H91/1000,0)</f>
        <v>129.8</v>
      </c>
      <c r="I96" s="36" t="n">
        <f aca="false">IF(I88=1,(I93-I95)*I91/1000,0)</f>
        <v>113.575</v>
      </c>
    </row>
    <row r="97" customFormat="false" ht="15" hidden="false" customHeight="true" outlineLevel="0" collapsed="false">
      <c r="A97" s="16" t="s">
        <v>89</v>
      </c>
      <c r="B97" s="22" t="n">
        <f aca="false">IF(B94=0,0,B96/B94)</f>
        <v>0</v>
      </c>
      <c r="C97" s="22" t="n">
        <f aca="false">IF(C94=0,0,C96/C94)</f>
        <v>0</v>
      </c>
      <c r="D97" s="22" t="n">
        <f aca="false">IF(D94=0,0,D96/D94)</f>
        <v>0</v>
      </c>
      <c r="E97" s="23" t="n">
        <f aca="false">IF(E94=0,0,E96/E94)</f>
        <v>0</v>
      </c>
      <c r="F97" s="23" t="n">
        <f aca="false">IF(F94=0,0,F96/F94)</f>
        <v>0.207492795389049</v>
      </c>
      <c r="G97" s="23" t="n">
        <f aca="false">IF(G94=0,0,G96/G94)</f>
        <v>0.166666666666667</v>
      </c>
      <c r="H97" s="23" t="n">
        <f aca="false">IF(H94=0,0,H96/H94)</f>
        <v>0.137931034482759</v>
      </c>
      <c r="I97" s="23" t="n">
        <f aca="false">IF(I94=0,0,I96/I94)</f>
        <v>0.12280701754386</v>
      </c>
    </row>
    <row r="98" customFormat="false" ht="15" hidden="false" customHeight="true" outlineLevel="0" collapsed="false">
      <c r="A98" s="13" t="s">
        <v>90</v>
      </c>
      <c r="B98" s="26" t="n">
        <f aca="false">IF(B88=1,$B$104/$B$111,0)</f>
        <v>0</v>
      </c>
      <c r="C98" s="26" t="n">
        <f aca="false">IF(C88=1,$B$104/$B$111,0)</f>
        <v>0</v>
      </c>
      <c r="D98" s="26" t="n">
        <f aca="false">IF(D88=1,$B$104/$B$111,0)</f>
        <v>0</v>
      </c>
      <c r="E98" s="27" t="n">
        <f aca="false">IF(E88=1,$B$104/$B$111,0)</f>
        <v>0</v>
      </c>
      <c r="F98" s="27" t="n">
        <f aca="false">IF(F88=1,$B$104/$B$111,0)</f>
        <v>86.6666666666667</v>
      </c>
      <c r="G98" s="27" t="n">
        <f aca="false">IF(G88=1,$B$104/$B$111,0)</f>
        <v>86.6666666666667</v>
      </c>
      <c r="H98" s="27" t="n">
        <f aca="false">IF(H88=1,$B$104/$B$111,0)</f>
        <v>86.6666666666667</v>
      </c>
      <c r="I98" s="27" t="n">
        <f aca="false">IF(I88=1,$B$104/$B$111,0)</f>
        <v>86.6666666666667</v>
      </c>
    </row>
    <row r="99" customFormat="false" ht="15" hidden="false" customHeight="true" outlineLevel="0" collapsed="false">
      <c r="A99" s="19" t="s">
        <v>91</v>
      </c>
      <c r="B99" s="35" t="n">
        <f aca="false">B96-B98</f>
        <v>0</v>
      </c>
      <c r="C99" s="35" t="n">
        <f aca="false">C96-C98</f>
        <v>0</v>
      </c>
      <c r="D99" s="35" t="n">
        <f aca="false">D96-D98</f>
        <v>0</v>
      </c>
      <c r="E99" s="36" t="n">
        <f aca="false">E96-E98</f>
        <v>0</v>
      </c>
      <c r="F99" s="36" t="n">
        <f aca="false">F96-F98</f>
        <v>125.733333333333</v>
      </c>
      <c r="G99" s="36" t="n">
        <f aca="false">G96-G98</f>
        <v>75.5833333333333</v>
      </c>
      <c r="H99" s="36" t="n">
        <f aca="false">H96-H98</f>
        <v>43.1333333333333</v>
      </c>
      <c r="I99" s="36" t="n">
        <f aca="false">I96-I98</f>
        <v>26.9083333333333</v>
      </c>
    </row>
    <row r="100" customFormat="false" ht="15" hidden="false" customHeight="true" outlineLevel="0" collapsed="false">
      <c r="A100" s="16" t="s">
        <v>92</v>
      </c>
      <c r="B100" s="39" t="n">
        <f aca="false">B94-B96+B98</f>
        <v>0</v>
      </c>
      <c r="C100" s="39" t="n">
        <f aca="false">C94-C96+C98</f>
        <v>0</v>
      </c>
      <c r="D100" s="39" t="n">
        <f aca="false">D94-D96+D98</f>
        <v>0</v>
      </c>
      <c r="E100" s="44" t="n">
        <f aca="false">E94-E96+E98</f>
        <v>0</v>
      </c>
      <c r="F100" s="44" t="n">
        <f aca="false">F94-F96+F98</f>
        <v>897.916666666667</v>
      </c>
      <c r="G100" s="44" t="n">
        <f aca="false">G94-G96+G98</f>
        <v>897.916666666667</v>
      </c>
      <c r="H100" s="44" t="n">
        <f aca="false">H94-H96+H98</f>
        <v>897.916666666667</v>
      </c>
      <c r="I100" s="44" t="n">
        <f aca="false">I94-I96+I98</f>
        <v>897.916666666667</v>
      </c>
      <c r="K100" s="12" t="s">
        <v>93</v>
      </c>
    </row>
    <row r="101" customFormat="false" ht="15" hidden="false" customHeight="true" outlineLevel="0" collapsed="false">
      <c r="A101" s="13" t="s">
        <v>94</v>
      </c>
      <c r="B101" s="37" t="n">
        <v>0</v>
      </c>
      <c r="C101" s="37" t="n">
        <v>0</v>
      </c>
      <c r="D101" s="37" t="n">
        <v>0</v>
      </c>
      <c r="E101" s="38" t="n">
        <v>0</v>
      </c>
      <c r="F101" s="38" t="n">
        <v>60</v>
      </c>
      <c r="G101" s="38" t="n">
        <v>60</v>
      </c>
      <c r="H101" s="38" t="n">
        <v>60</v>
      </c>
      <c r="I101" s="38" t="n">
        <v>60</v>
      </c>
    </row>
    <row r="102" customFormat="false" ht="15" hidden="false" customHeight="true" outlineLevel="0" collapsed="false">
      <c r="A102" s="19" t="s">
        <v>95</v>
      </c>
    </row>
    <row r="103" customFormat="false" ht="15" hidden="false" customHeight="true" outlineLevel="0" collapsed="false">
      <c r="A103" s="9" t="s">
        <v>96</v>
      </c>
      <c r="B103" s="37" t="n">
        <v>2200</v>
      </c>
      <c r="K103" s="12" t="s">
        <v>97</v>
      </c>
    </row>
    <row r="104" customFormat="false" ht="15" hidden="false" customHeight="true" outlineLevel="0" collapsed="false">
      <c r="A104" s="13" t="s">
        <v>98</v>
      </c>
      <c r="B104" s="37" t="n">
        <v>1300</v>
      </c>
      <c r="K104" s="12" t="s">
        <v>99</v>
      </c>
    </row>
    <row r="105" customFormat="false" ht="15" hidden="false" customHeight="true" outlineLevel="0" collapsed="false">
      <c r="A105" s="13" t="s">
        <v>100</v>
      </c>
      <c r="B105" s="37" t="n">
        <v>180</v>
      </c>
      <c r="K105" s="12" t="s">
        <v>99</v>
      </c>
    </row>
    <row r="106" customFormat="false" ht="15" hidden="false" customHeight="true" outlineLevel="0" collapsed="false">
      <c r="A106" s="13" t="s">
        <v>101</v>
      </c>
      <c r="B106" s="37" t="n">
        <v>150</v>
      </c>
      <c r="K106" s="12" t="s">
        <v>99</v>
      </c>
    </row>
    <row r="107" customFormat="false" ht="15" hidden="false" customHeight="true" outlineLevel="0" collapsed="false">
      <c r="A107" s="13" t="s">
        <v>102</v>
      </c>
      <c r="B107" s="24" t="n">
        <v>-130</v>
      </c>
      <c r="K107" s="12" t="s">
        <v>99</v>
      </c>
    </row>
    <row r="108" customFormat="false" ht="15" hidden="false" customHeight="true" outlineLevel="0" collapsed="false">
      <c r="A108" s="13" t="s">
        <v>103</v>
      </c>
      <c r="B108" s="37" t="n">
        <v>700</v>
      </c>
      <c r="K108" s="12" t="s">
        <v>104</v>
      </c>
    </row>
    <row r="109" customFormat="false" ht="15" hidden="false" customHeight="true" outlineLevel="0" collapsed="false">
      <c r="A109" s="9" t="s">
        <v>105</v>
      </c>
      <c r="B109" s="37" t="n">
        <v>2083</v>
      </c>
      <c r="K109" s="12" t="s">
        <v>106</v>
      </c>
    </row>
    <row r="110" customFormat="false" ht="15" hidden="false" customHeight="true" outlineLevel="0" collapsed="false">
      <c r="A110" s="9" t="s">
        <v>107</v>
      </c>
      <c r="B110" s="37" t="n">
        <v>117</v>
      </c>
      <c r="K110" s="12" t="s">
        <v>108</v>
      </c>
    </row>
    <row r="111" customFormat="false" ht="15" hidden="false" customHeight="true" outlineLevel="0" collapsed="false">
      <c r="A111" s="9" t="s">
        <v>109</v>
      </c>
      <c r="B111" s="37" t="n">
        <v>15</v>
      </c>
      <c r="K111" s="12" t="s">
        <v>99</v>
      </c>
    </row>
    <row r="112" customFormat="false" ht="15" hidden="false" customHeight="true" outlineLevel="0" collapsed="false">
      <c r="A112" s="9" t="s">
        <v>110</v>
      </c>
      <c r="B112" s="24" t="n">
        <v>0.06</v>
      </c>
      <c r="K112" s="12" t="s">
        <v>111</v>
      </c>
    </row>
    <row r="113" customFormat="false" ht="15" hidden="false" customHeight="true" outlineLevel="0" collapsed="false">
      <c r="A113" s="41"/>
      <c r="B113" s="41"/>
      <c r="C113" s="41"/>
      <c r="D113" s="41"/>
      <c r="E113" s="41"/>
      <c r="F113" s="41"/>
      <c r="G113" s="41"/>
      <c r="H113" s="41"/>
      <c r="I113" s="41"/>
    </row>
    <row r="114" customFormat="false" ht="15" hidden="false" customHeight="true" outlineLevel="0" collapsed="false">
      <c r="A114" s="6" t="s">
        <v>112</v>
      </c>
      <c r="B114" s="7"/>
      <c r="C114" s="7"/>
      <c r="D114" s="7"/>
      <c r="E114" s="7"/>
      <c r="F114" s="7"/>
      <c r="G114" s="7"/>
      <c r="H114" s="7"/>
      <c r="I114" s="7"/>
      <c r="K114" s="7"/>
    </row>
    <row r="115" customFormat="false" ht="15" hidden="false" customHeight="true" outlineLevel="0" collapsed="false">
      <c r="A115" s="9" t="s">
        <v>113</v>
      </c>
      <c r="B115" s="26" t="n">
        <f aca="false">B32</f>
        <v>4106.138347146</v>
      </c>
      <c r="C115" s="26" t="n">
        <f aca="false">C32</f>
        <v>4313.106434736</v>
      </c>
      <c r="D115" s="26" t="n">
        <f aca="false">D32</f>
        <v>4730.776652514</v>
      </c>
      <c r="E115" s="27" t="n">
        <f aca="false">E32</f>
        <v>3898.23596</v>
      </c>
      <c r="F115" s="27" t="n">
        <f aca="false">F32</f>
        <v>4349.9</v>
      </c>
      <c r="G115" s="27" t="n">
        <f aca="false">G32</f>
        <v>4825.75</v>
      </c>
      <c r="H115" s="27" t="n">
        <f aca="false">H32</f>
        <v>4938.8</v>
      </c>
      <c r="I115" s="27" t="n">
        <f aca="false">I32</f>
        <v>4915.775</v>
      </c>
    </row>
    <row r="116" customFormat="false" ht="15" hidden="false" customHeight="true" outlineLevel="0" collapsed="false">
      <c r="A116" s="9" t="s">
        <v>114</v>
      </c>
      <c r="B116" s="26" t="n">
        <f aca="false">B94</f>
        <v>0</v>
      </c>
      <c r="C116" s="26" t="n">
        <f aca="false">C94</f>
        <v>0</v>
      </c>
      <c r="D116" s="26" t="n">
        <f aca="false">D94</f>
        <v>0</v>
      </c>
      <c r="E116" s="27" t="n">
        <f aca="false">E94</f>
        <v>0</v>
      </c>
      <c r="F116" s="27" t="n">
        <f aca="false">F94</f>
        <v>1023.65</v>
      </c>
      <c r="G116" s="27" t="n">
        <f aca="false">G94</f>
        <v>973.5</v>
      </c>
      <c r="H116" s="27" t="n">
        <f aca="false">H94</f>
        <v>941.05</v>
      </c>
      <c r="I116" s="27" t="n">
        <f aca="false">I94</f>
        <v>924.825</v>
      </c>
    </row>
    <row r="117" customFormat="false" ht="15" hidden="false" customHeight="true" outlineLevel="0" collapsed="false">
      <c r="A117" s="19" t="s">
        <v>115</v>
      </c>
      <c r="B117" s="35" t="n">
        <f aca="false">B115+B116</f>
        <v>4106.138347146</v>
      </c>
      <c r="C117" s="35" t="n">
        <f aca="false">C115+C116</f>
        <v>4313.106434736</v>
      </c>
      <c r="D117" s="35" t="n">
        <f aca="false">D115+D116</f>
        <v>4730.776652514</v>
      </c>
      <c r="E117" s="36" t="n">
        <f aca="false">E115+E116</f>
        <v>3898.23596</v>
      </c>
      <c r="F117" s="36" t="n">
        <f aca="false">F115+F116</f>
        <v>5373.55</v>
      </c>
      <c r="G117" s="36" t="n">
        <f aca="false">G115+G116</f>
        <v>5799.25</v>
      </c>
      <c r="H117" s="36" t="n">
        <f aca="false">H115+H116</f>
        <v>5879.85</v>
      </c>
      <c r="I117" s="36" t="n">
        <f aca="false">I115+I116</f>
        <v>5840.6</v>
      </c>
    </row>
    <row r="118" customFormat="false" ht="15" hidden="false" customHeight="true" outlineLevel="0" collapsed="false">
      <c r="A118" s="16" t="s">
        <v>20</v>
      </c>
      <c r="C118" s="22" t="n">
        <f aca="false">C117/B117-1</f>
        <v>0.0504045577845313</v>
      </c>
      <c r="D118" s="22" t="n">
        <f aca="false">D117/C117-1</f>
        <v>0.0968374474634464</v>
      </c>
      <c r="E118" s="23" t="n">
        <f aca="false">E117/D117-1</f>
        <v>-0.175983935337885</v>
      </c>
      <c r="F118" s="23" t="n">
        <f aca="false">F117/E117-1</f>
        <v>0.37845683410093</v>
      </c>
      <c r="G118" s="23" t="n">
        <f aca="false">G117/F117-1</f>
        <v>0.0792213713466889</v>
      </c>
      <c r="H118" s="23" t="n">
        <f aca="false">H117/G117-1</f>
        <v>0.01389834892443</v>
      </c>
      <c r="I118" s="23" t="n">
        <f aca="false">I117/H117-1</f>
        <v>-0.0066753403573222</v>
      </c>
    </row>
    <row r="119" customFormat="false" ht="15" hidden="false" customHeight="true" outlineLevel="0" collapsed="false">
      <c r="A119" s="28" t="s">
        <v>116</v>
      </c>
      <c r="B119" s="33" t="n">
        <f aca="false">B117/(B12+B91)*1000</f>
        <v>2561.51601401737</v>
      </c>
      <c r="C119" s="33" t="n">
        <f aca="false">C117/(C12+C91)*1000</f>
        <v>2675.62433916625</v>
      </c>
      <c r="D119" s="33" t="n">
        <f aca="false">D117/(D12+D91)*1000</f>
        <v>2932.25111104403</v>
      </c>
      <c r="E119" s="34" t="n">
        <f aca="false">E117/(E12+E91)*1000</f>
        <v>3736.22573948447</v>
      </c>
      <c r="F119" s="34" t="n">
        <f aca="false">F117/(F12+F91)*1000</f>
        <v>3390.2523659306</v>
      </c>
      <c r="G119" s="34" t="n">
        <f aca="false">G117/(G12+G91)*1000</f>
        <v>3221.80555555556</v>
      </c>
      <c r="H119" s="34" t="n">
        <f aca="false">H117/(H12+H91)*1000</f>
        <v>3111.03174603175</v>
      </c>
      <c r="I119" s="34" t="n">
        <f aca="false">I117/(I12+I91)*1000</f>
        <v>3057.9057591623</v>
      </c>
    </row>
    <row r="121" customFormat="false" ht="15" hidden="false" customHeight="true" outlineLevel="0" collapsed="false">
      <c r="A121" s="6" t="s">
        <v>117</v>
      </c>
      <c r="B121" s="7"/>
      <c r="C121" s="7"/>
      <c r="D121" s="7"/>
      <c r="E121" s="7"/>
      <c r="F121" s="7"/>
      <c r="G121" s="7"/>
      <c r="H121" s="7"/>
      <c r="I121" s="7"/>
      <c r="K121" s="8" t="s">
        <v>118</v>
      </c>
    </row>
    <row r="122" customFormat="false" ht="15" hidden="false" customHeight="true" outlineLevel="0" collapsed="false">
      <c r="A122" s="9" t="s">
        <v>119</v>
      </c>
      <c r="B122" s="52" t="n">
        <v>1.93</v>
      </c>
      <c r="C122" s="52" t="n">
        <v>1.93</v>
      </c>
      <c r="D122" s="52" t="n">
        <v>1.93</v>
      </c>
      <c r="E122" s="53" t="n">
        <v>1.93</v>
      </c>
      <c r="F122" s="53" t="n">
        <v>1.93</v>
      </c>
      <c r="G122" s="53" t="n">
        <v>1.93</v>
      </c>
      <c r="H122" s="53" t="n">
        <v>1.93</v>
      </c>
      <c r="I122" s="53" t="n">
        <v>1.93</v>
      </c>
      <c r="K122" s="12" t="s">
        <v>120</v>
      </c>
    </row>
    <row r="123" customFormat="false" ht="15" hidden="false" customHeight="true" outlineLevel="0" collapsed="false">
      <c r="A123" s="19" t="s">
        <v>121</v>
      </c>
      <c r="B123" s="35" t="n">
        <f aca="false">B122*B25*B10/1000</f>
        <v>1282.4322145</v>
      </c>
      <c r="C123" s="35" t="n">
        <f aca="false">C122*C25*C10/1000</f>
        <v>1390.14789612</v>
      </c>
      <c r="D123" s="35" t="n">
        <f aca="false">D122*D25*D10/1000</f>
        <v>1575.72710981</v>
      </c>
      <c r="E123" s="36" t="n">
        <f aca="false">E122*E25*E10/1000</f>
        <v>606.05866755</v>
      </c>
      <c r="F123" s="36" t="n">
        <f aca="false">F122*F25*F10/1000</f>
        <v>903.24</v>
      </c>
      <c r="G123" s="36" t="n">
        <f aca="false">G122*G25*G10/1000</f>
        <v>1122.0055</v>
      </c>
      <c r="H123" s="36" t="n">
        <f aca="false">H122*H25*H10/1000</f>
        <v>1235.2</v>
      </c>
      <c r="I123" s="36" t="n">
        <f aca="false">I122*I25*I10/1000</f>
        <v>1281.906</v>
      </c>
    </row>
    <row r="124" customFormat="false" ht="15" hidden="false" customHeight="true" outlineLevel="0" collapsed="false">
      <c r="A124" s="9" t="s">
        <v>122</v>
      </c>
      <c r="B124" s="54" t="n">
        <v>102</v>
      </c>
      <c r="C124" s="54" t="n">
        <v>102</v>
      </c>
      <c r="D124" s="54" t="n">
        <v>102</v>
      </c>
      <c r="E124" s="55" t="n">
        <v>102</v>
      </c>
      <c r="F124" s="55" t="n">
        <v>102</v>
      </c>
      <c r="G124" s="55" t="n">
        <v>102</v>
      </c>
      <c r="H124" s="55" t="n">
        <v>102</v>
      </c>
      <c r="I124" s="55" t="n">
        <v>102</v>
      </c>
      <c r="K124" s="12" t="s">
        <v>123</v>
      </c>
    </row>
    <row r="125" customFormat="false" ht="15" hidden="false" customHeight="true" outlineLevel="0" collapsed="false">
      <c r="A125" s="9" t="s">
        <v>124</v>
      </c>
      <c r="B125" s="52" t="n">
        <v>4</v>
      </c>
      <c r="C125" s="52" t="n">
        <v>4</v>
      </c>
      <c r="D125" s="52" t="n">
        <v>4</v>
      </c>
      <c r="E125" s="53" t="n">
        <v>4.5</v>
      </c>
      <c r="F125" s="53" t="n">
        <v>4.5</v>
      </c>
      <c r="G125" s="53" t="n">
        <v>4.5</v>
      </c>
      <c r="H125" s="53" t="n">
        <v>5.25</v>
      </c>
      <c r="I125" s="53" t="n">
        <v>5.25</v>
      </c>
      <c r="K125" s="12" t="s">
        <v>125</v>
      </c>
    </row>
    <row r="126" customFormat="false" ht="15" hidden="false" customHeight="true" outlineLevel="0" collapsed="false">
      <c r="A126" s="19" t="s">
        <v>126</v>
      </c>
      <c r="B126" s="35" t="n">
        <f aca="false">B124*B125*B10/1000</f>
        <v>661.23132</v>
      </c>
      <c r="C126" s="35" t="n">
        <f aca="false">C124*C125*C10/1000</f>
        <v>661.882488</v>
      </c>
      <c r="D126" s="35" t="n">
        <f aca="false">D124*D125*D10/1000</f>
        <v>662.240712</v>
      </c>
      <c r="E126" s="36" t="n">
        <f aca="false">E124*E125*E10/1000</f>
        <v>417.783177</v>
      </c>
      <c r="F126" s="36" t="n">
        <f aca="false">F124*F125*F10/1000</f>
        <v>596.7</v>
      </c>
      <c r="G126" s="36" t="n">
        <f aca="false">G124*G125*G10/1000</f>
        <v>693.09</v>
      </c>
      <c r="H126" s="36" t="n">
        <f aca="false">H124*H125*H10/1000</f>
        <v>856.8</v>
      </c>
      <c r="I126" s="36" t="n">
        <f aca="false">I124*I125*I10/1000</f>
        <v>867.51</v>
      </c>
    </row>
    <row r="127" customFormat="false" ht="15" hidden="false" customHeight="true" outlineLevel="0" collapsed="false">
      <c r="A127" s="9" t="s">
        <v>127</v>
      </c>
      <c r="B127" s="10" t="n">
        <v>230</v>
      </c>
      <c r="C127" s="10" t="n">
        <v>215</v>
      </c>
      <c r="D127" s="10" t="n">
        <v>231</v>
      </c>
      <c r="E127" s="11" t="n">
        <v>275</v>
      </c>
      <c r="F127" s="11" t="n">
        <v>270</v>
      </c>
      <c r="G127" s="11" t="n">
        <v>265</v>
      </c>
      <c r="H127" s="11" t="n">
        <v>265</v>
      </c>
      <c r="I127" s="11" t="n">
        <v>265</v>
      </c>
      <c r="K127" s="12" t="s">
        <v>128</v>
      </c>
    </row>
    <row r="128" customFormat="false" ht="15" hidden="false" customHeight="true" outlineLevel="0" collapsed="false">
      <c r="A128" s="19" t="s">
        <v>129</v>
      </c>
      <c r="B128" s="35" t="n">
        <f aca="false">B127*B10/1000</f>
        <v>372.75295</v>
      </c>
      <c r="C128" s="35" t="n">
        <f aca="false">C127*C10/1000</f>
        <v>348.786115</v>
      </c>
      <c r="D128" s="35" t="n">
        <f aca="false">D127*D10/1000</f>
        <v>374.945109</v>
      </c>
      <c r="E128" s="36" t="n">
        <f aca="false">E127*E10/1000</f>
        <v>250.305825</v>
      </c>
      <c r="F128" s="36" t="n">
        <f aca="false">F127*F10/1000</f>
        <v>351</v>
      </c>
      <c r="G128" s="36" t="n">
        <f aca="false">G127*G10/1000</f>
        <v>400.15</v>
      </c>
      <c r="H128" s="36" t="n">
        <f aca="false">H127*H10/1000</f>
        <v>424</v>
      </c>
      <c r="I128" s="36" t="n">
        <f aca="false">I127*I10/1000</f>
        <v>429.3</v>
      </c>
    </row>
    <row r="129" customFormat="false" ht="15" hidden="false" customHeight="true" outlineLevel="0" collapsed="false">
      <c r="A129" s="9" t="s">
        <v>130</v>
      </c>
      <c r="B129" s="10" t="n">
        <v>40</v>
      </c>
      <c r="C129" s="10" t="n">
        <v>40</v>
      </c>
      <c r="D129" s="10" t="n">
        <v>40</v>
      </c>
      <c r="E129" s="11" t="n">
        <v>46</v>
      </c>
      <c r="F129" s="11" t="n">
        <v>45</v>
      </c>
      <c r="G129" s="11" t="n">
        <v>44</v>
      </c>
      <c r="H129" s="11" t="n">
        <v>44</v>
      </c>
      <c r="I129" s="11" t="n">
        <v>44</v>
      </c>
    </row>
    <row r="130" customFormat="false" ht="15" hidden="false" customHeight="true" outlineLevel="0" collapsed="false">
      <c r="A130" s="19" t="s">
        <v>131</v>
      </c>
      <c r="B130" s="35" t="n">
        <f aca="false">B129*B10/1000</f>
        <v>64.8266</v>
      </c>
      <c r="C130" s="35" t="n">
        <f aca="false">C129*C10/1000</f>
        <v>64.89044</v>
      </c>
      <c r="D130" s="35" t="n">
        <f aca="false">D129*D10/1000</f>
        <v>64.92556</v>
      </c>
      <c r="E130" s="36" t="n">
        <f aca="false">E129*E10/1000</f>
        <v>41.869338</v>
      </c>
      <c r="F130" s="36" t="n">
        <f aca="false">F129*F10/1000</f>
        <v>58.5</v>
      </c>
      <c r="G130" s="36" t="n">
        <f aca="false">G129*G10/1000</f>
        <v>66.44</v>
      </c>
      <c r="H130" s="36" t="n">
        <f aca="false">H129*H10/1000</f>
        <v>70.4</v>
      </c>
      <c r="I130" s="36" t="n">
        <f aca="false">I129*I10/1000</f>
        <v>71.28</v>
      </c>
    </row>
    <row r="131" customFormat="false" ht="15" hidden="false" customHeight="true" outlineLevel="0" collapsed="false">
      <c r="A131" s="19" t="s">
        <v>132</v>
      </c>
      <c r="B131" s="20" t="n">
        <v>521</v>
      </c>
      <c r="C131" s="20" t="n">
        <v>584</v>
      </c>
      <c r="D131" s="20" t="n">
        <v>588</v>
      </c>
      <c r="E131" s="21" t="n">
        <v>560</v>
      </c>
      <c r="F131" s="21" t="n">
        <v>600</v>
      </c>
      <c r="G131" s="21" t="n">
        <v>620</v>
      </c>
      <c r="H131" s="21" t="n">
        <v>635</v>
      </c>
      <c r="I131" s="21" t="n">
        <v>650</v>
      </c>
      <c r="K131" s="12" t="s">
        <v>133</v>
      </c>
    </row>
    <row r="132" customFormat="false" ht="15" hidden="false" customHeight="true" outlineLevel="0" collapsed="false">
      <c r="A132" s="19" t="s">
        <v>134</v>
      </c>
      <c r="B132" s="20" t="n">
        <v>217.133002149839</v>
      </c>
      <c r="C132" s="20" t="n">
        <v>92.634447043497</v>
      </c>
      <c r="D132" s="20" t="n">
        <v>196.391896483753</v>
      </c>
      <c r="E132" s="21" t="n">
        <v>300</v>
      </c>
      <c r="F132" s="21" t="n">
        <v>240</v>
      </c>
      <c r="G132" s="21" t="n">
        <v>220</v>
      </c>
      <c r="H132" s="21" t="n">
        <v>215</v>
      </c>
      <c r="I132" s="21" t="n">
        <v>215</v>
      </c>
      <c r="K132" s="12" t="s">
        <v>135</v>
      </c>
    </row>
    <row r="133" customFormat="false" ht="15" hidden="false" customHeight="true" outlineLevel="0" collapsed="false">
      <c r="A133" s="19" t="s">
        <v>136</v>
      </c>
      <c r="B133" s="56" t="n">
        <f aca="false">'Income Statement'!B33</f>
        <v>350.3803233535</v>
      </c>
      <c r="C133" s="56" t="n">
        <f aca="false">'Income Statement'!C33</f>
        <v>360.3856426225</v>
      </c>
      <c r="D133" s="56" t="n">
        <f aca="false">'Income Statement'!D33</f>
        <v>401.978728228</v>
      </c>
      <c r="E133" s="57" t="n">
        <f aca="false">'Income Statement'!E33</f>
        <v>415.115077258563</v>
      </c>
      <c r="F133" s="57" t="n">
        <f aca="false">'Income Statement'!F33</f>
        <v>425.078077258563</v>
      </c>
      <c r="G133" s="57" t="n">
        <f aca="false">'Income Statement'!G33</f>
        <v>436.635157258563</v>
      </c>
      <c r="H133" s="57" t="n">
        <f aca="false">'Income Statement'!H33</f>
        <v>448.790017258563</v>
      </c>
      <c r="I133" s="57" t="n">
        <f aca="false">'Income Statement'!I33</f>
        <v>461.343397258563</v>
      </c>
    </row>
    <row r="134" customFormat="false" ht="15" hidden="false" customHeight="true" outlineLevel="0" collapsed="false">
      <c r="A134" s="19" t="s">
        <v>137</v>
      </c>
      <c r="B134" s="35" t="n">
        <f aca="false">B123+B126+B128+B130+B131+B132+B133</f>
        <v>3469.75641000334</v>
      </c>
      <c r="C134" s="35" t="n">
        <f aca="false">C123+C126+C128+C130+C131+C132+C133</f>
        <v>3502.727028786</v>
      </c>
      <c r="D134" s="35" t="n">
        <f aca="false">D123+D126+D128+D130+D131+D132+D133</f>
        <v>3864.20911552175</v>
      </c>
      <c r="E134" s="36" t="n">
        <f aca="false">E123+E126+E128+E130+E131+E132+E133</f>
        <v>2591.13208480856</v>
      </c>
      <c r="F134" s="36" t="n">
        <f aca="false">F123+F126+F128+F130+F131+F132+F133</f>
        <v>3174.51807725856</v>
      </c>
      <c r="G134" s="36" t="n">
        <f aca="false">G123+G126+G128+G130+G131+G132+G133</f>
        <v>3558.32065725856</v>
      </c>
      <c r="H134" s="36" t="n">
        <f aca="false">H123+H126+H128+H130+H131+H132+H133</f>
        <v>3885.19001725856</v>
      </c>
      <c r="I134" s="36" t="n">
        <f aca="false">I123+I126+I128+I130+I131+I132+I133</f>
        <v>3976.33939725856</v>
      </c>
    </row>
    <row r="135" customFormat="false" ht="15" hidden="false" customHeight="true" outlineLevel="0" collapsed="false">
      <c r="A135" s="19" t="s">
        <v>138</v>
      </c>
      <c r="B135" s="31" t="n">
        <f aca="false">B134/B10*1000</f>
        <v>2140.94609928846</v>
      </c>
      <c r="C135" s="31" t="n">
        <f aca="false">C134/C10*1000</f>
        <v>2159.1636788322</v>
      </c>
      <c r="D135" s="31" t="n">
        <f aca="false">D134/D10*1000</f>
        <v>2380.70129269382</v>
      </c>
      <c r="E135" s="32" t="n">
        <f aca="false">E134/E10*1000</f>
        <v>2846.7628482971</v>
      </c>
      <c r="F135" s="32" t="n">
        <f aca="false">F134/F10*1000</f>
        <v>2441.93698250659</v>
      </c>
      <c r="G135" s="32" t="n">
        <f aca="false">G134/G10*1000</f>
        <v>2356.50374652885</v>
      </c>
      <c r="H135" s="32" t="n">
        <f aca="false">H134/H10*1000</f>
        <v>2428.2437607866</v>
      </c>
      <c r="I135" s="32" t="n">
        <f aca="false">I134/I10*1000</f>
        <v>2454.53049213492</v>
      </c>
    </row>
    <row r="136" customFormat="false" ht="15" hidden="false" customHeight="true" outlineLevel="0" collapsed="false">
      <c r="A136" s="16" t="s">
        <v>139</v>
      </c>
      <c r="B136" s="58" t="n">
        <f aca="false">(B134-B133)/B10*1000</f>
        <v>1924.75069594879</v>
      </c>
      <c r="C136" s="58" t="n">
        <f aca="false">(C134-C133)/C10*1000</f>
        <v>1937.01345601201</v>
      </c>
      <c r="D136" s="58" t="n">
        <f aca="false">(D134-D133)/D10*1000</f>
        <v>2133.04614533552</v>
      </c>
      <c r="E136" s="59" t="n">
        <f aca="false">(E134-E133)/E10*1000</f>
        <v>2390.69417212424</v>
      </c>
      <c r="F136" s="59" t="n">
        <f aca="false">(F134-F133)/F10*1000</f>
        <v>2114.95384615385</v>
      </c>
      <c r="G136" s="59" t="n">
        <f aca="false">(G134-G133)/G10*1000</f>
        <v>2067.34139072848</v>
      </c>
      <c r="H136" s="59" t="n">
        <f aca="false">(H134-H133)/H10*1000</f>
        <v>2147.75</v>
      </c>
      <c r="I136" s="59" t="n">
        <f aca="false">(I134-I133)/I10*1000</f>
        <v>2169.75061728395</v>
      </c>
    </row>
    <row r="137" customFormat="false" ht="15" hidden="false" customHeight="true" outlineLevel="0" collapsed="false">
      <c r="A137" s="19" t="s">
        <v>140</v>
      </c>
      <c r="B137" s="35" t="n">
        <f aca="false">B135*B12/1000</f>
        <v>3431.9601475665</v>
      </c>
      <c r="C137" s="35" t="n">
        <f aca="false">C135*C12/1000</f>
        <v>3480.5718502775</v>
      </c>
      <c r="D137" s="35" t="n">
        <f aca="false">D135*D12/1000</f>
        <v>3840.9282375805</v>
      </c>
      <c r="E137" s="36" t="n">
        <f aca="false">E135*E12/1000</f>
        <v>2970.20417892496</v>
      </c>
      <c r="F137" s="36" t="n">
        <f aca="false">F135*F12/1000</f>
        <v>3150.0987074335</v>
      </c>
      <c r="G137" s="36" t="n">
        <f aca="false">G135*G12/1000</f>
        <v>3546.53813852592</v>
      </c>
      <c r="H137" s="36" t="n">
        <f aca="false">H135*H12/1000</f>
        <v>3873.04879845463</v>
      </c>
      <c r="I137" s="36" t="n">
        <f aca="false">I135*I12/1000</f>
        <v>3964.06674479789</v>
      </c>
    </row>
    <row r="138" customFormat="false" ht="15" hidden="false" customHeight="true" outlineLevel="0" collapsed="false">
      <c r="A138" s="13" t="s">
        <v>141</v>
      </c>
      <c r="B138" s="26" t="n">
        <f aca="false">B100</f>
        <v>0</v>
      </c>
      <c r="C138" s="26" t="n">
        <f aca="false">C100</f>
        <v>0</v>
      </c>
      <c r="D138" s="26" t="n">
        <f aca="false">D100</f>
        <v>0</v>
      </c>
      <c r="E138" s="27" t="n">
        <f aca="false">E100</f>
        <v>0</v>
      </c>
      <c r="F138" s="27" t="n">
        <f aca="false">F100</f>
        <v>897.916666666667</v>
      </c>
      <c r="G138" s="27" t="n">
        <f aca="false">G100</f>
        <v>897.916666666667</v>
      </c>
      <c r="H138" s="27" t="n">
        <f aca="false">H100</f>
        <v>897.916666666667</v>
      </c>
      <c r="I138" s="27" t="n">
        <f aca="false">I100</f>
        <v>897.916666666667</v>
      </c>
    </row>
    <row r="139" customFormat="false" ht="15" hidden="false" customHeight="true" outlineLevel="0" collapsed="false">
      <c r="A139" s="19" t="s">
        <v>142</v>
      </c>
      <c r="B139" s="35" t="n">
        <f aca="false">B137+B138</f>
        <v>3431.9601475665</v>
      </c>
      <c r="C139" s="35" t="n">
        <f aca="false">C137+C138</f>
        <v>3480.5718502775</v>
      </c>
      <c r="D139" s="35" t="n">
        <f aca="false">D137+D138</f>
        <v>3840.9282375805</v>
      </c>
      <c r="E139" s="36" t="n">
        <f aca="false">E137+E138</f>
        <v>2970.20417892496</v>
      </c>
      <c r="F139" s="36" t="n">
        <f aca="false">F137+F138</f>
        <v>4048.01537410016</v>
      </c>
      <c r="G139" s="36" t="n">
        <f aca="false">G137+G138</f>
        <v>4444.45480519259</v>
      </c>
      <c r="H139" s="36" t="n">
        <f aca="false">H137+H138</f>
        <v>4770.9654651213</v>
      </c>
      <c r="I139" s="36" t="n">
        <f aca="false">I137+I138</f>
        <v>4861.98341146456</v>
      </c>
    </row>
    <row r="140" customFormat="false" ht="15" hidden="false" customHeight="true" outlineLevel="0" collapsed="false">
      <c r="A140" s="16" t="s">
        <v>143</v>
      </c>
      <c r="B140" s="39" t="n">
        <v>3431.9601475665</v>
      </c>
      <c r="C140" s="39" t="n">
        <v>3480.5718502775</v>
      </c>
      <c r="D140" s="39" t="n">
        <v>3840.9282375805</v>
      </c>
      <c r="K140" s="12" t="s">
        <v>144</v>
      </c>
    </row>
    <row r="141" customFormat="false" ht="15" hidden="false" customHeight="true" outlineLevel="0" collapsed="false">
      <c r="A141" s="28" t="s">
        <v>48</v>
      </c>
      <c r="B141" s="40" t="n">
        <f aca="false">B139/B140-1</f>
        <v>0</v>
      </c>
      <c r="C141" s="40" t="n">
        <f aca="false">C139/C140-1</f>
        <v>0</v>
      </c>
      <c r="D141" s="40" t="n">
        <f aca="false">D139/D140-1</f>
        <v>0</v>
      </c>
      <c r="E141" s="41"/>
      <c r="F141" s="41"/>
      <c r="G141" s="41"/>
      <c r="H141" s="41"/>
      <c r="I141" s="41"/>
    </row>
    <row r="143" customFormat="false" ht="15" hidden="false" customHeight="true" outlineLevel="0" collapsed="false">
      <c r="A143" s="6" t="s">
        <v>145</v>
      </c>
      <c r="B143" s="7"/>
      <c r="C143" s="7"/>
      <c r="D143" s="7"/>
      <c r="E143" s="7"/>
      <c r="F143" s="7"/>
      <c r="G143" s="7"/>
      <c r="H143" s="7"/>
      <c r="I143" s="7"/>
      <c r="K143" s="8" t="s">
        <v>146</v>
      </c>
    </row>
    <row r="144" customFormat="false" ht="15" hidden="false" customHeight="true" outlineLevel="0" collapsed="false">
      <c r="A144" s="13" t="s">
        <v>21</v>
      </c>
      <c r="B144" s="26" t="n">
        <v>593.362</v>
      </c>
      <c r="K144" s="12" t="s">
        <v>147</v>
      </c>
    </row>
    <row r="145" customFormat="false" ht="15" hidden="false" customHeight="true" outlineLevel="0" collapsed="false">
      <c r="A145" s="13" t="s">
        <v>18</v>
      </c>
      <c r="B145" s="26" t="n">
        <v>495.203</v>
      </c>
      <c r="K145" s="12" t="s">
        <v>148</v>
      </c>
    </row>
    <row r="146" customFormat="false" ht="15" hidden="false" customHeight="true" outlineLevel="0" collapsed="false">
      <c r="A146" s="13" t="s">
        <v>149</v>
      </c>
      <c r="B146" s="50" t="n">
        <v>3386</v>
      </c>
      <c r="K146" s="12" t="s">
        <v>150</v>
      </c>
    </row>
    <row r="147" customFormat="false" ht="15" hidden="false" customHeight="true" outlineLevel="0" collapsed="false">
      <c r="A147" s="13" t="s">
        <v>151</v>
      </c>
      <c r="B147" s="26" t="n">
        <v>440</v>
      </c>
      <c r="K147" s="12" t="s">
        <v>152</v>
      </c>
    </row>
    <row r="148" customFormat="false" ht="15" hidden="false" customHeight="true" outlineLevel="0" collapsed="false">
      <c r="A148" s="13" t="s">
        <v>153</v>
      </c>
      <c r="B148" s="26" t="n">
        <v>324</v>
      </c>
      <c r="K148" s="12" t="s">
        <v>154</v>
      </c>
    </row>
    <row r="149" customFormat="false" ht="15" hidden="false" customHeight="true" outlineLevel="0" collapsed="false">
      <c r="A149" s="13" t="s">
        <v>155</v>
      </c>
      <c r="B149" s="26" t="n">
        <v>2242.0213035</v>
      </c>
      <c r="K149" s="12" t="s">
        <v>156</v>
      </c>
    </row>
    <row r="150" customFormat="false" ht="15" hidden="false" customHeight="true" outlineLevel="0" collapsed="false">
      <c r="A150" s="13" t="s">
        <v>157</v>
      </c>
      <c r="B150" s="26" t="n">
        <v>1716.1622546365</v>
      </c>
      <c r="K150" s="12" t="s">
        <v>158</v>
      </c>
    </row>
    <row r="151" customFormat="false" ht="15" hidden="false" customHeight="true" outlineLevel="0" collapsed="false">
      <c r="A151" s="13" t="s">
        <v>159</v>
      </c>
      <c r="B151" s="26" t="n">
        <v>525.8590488635</v>
      </c>
      <c r="K151" s="12" t="s">
        <v>160</v>
      </c>
    </row>
    <row r="152" customFormat="false" ht="15" hidden="false" customHeight="true" outlineLevel="0" collapsed="false">
      <c r="A152" s="13" t="s">
        <v>161</v>
      </c>
      <c r="B152" s="26" t="n">
        <v>631</v>
      </c>
      <c r="K152" s="12" t="s">
        <v>162</v>
      </c>
    </row>
    <row r="153" customFormat="false" ht="15" hidden="false" customHeight="true" outlineLevel="0" collapsed="false">
      <c r="A153" s="13" t="s">
        <v>163</v>
      </c>
      <c r="B153" s="26" t="n">
        <v>372.8218129845</v>
      </c>
      <c r="K153" s="12" t="s">
        <v>164</v>
      </c>
    </row>
    <row r="154" customFormat="false" ht="15" hidden="false" customHeight="true" outlineLevel="0" collapsed="false">
      <c r="A154" s="13" t="s">
        <v>165</v>
      </c>
      <c r="B154" s="26" t="n">
        <v>214.8005344925</v>
      </c>
      <c r="K154" s="12" t="s">
        <v>166</v>
      </c>
    </row>
    <row r="155" customFormat="false" ht="15" hidden="false" customHeight="true" outlineLevel="0" collapsed="false">
      <c r="A155" s="13" t="s">
        <v>167</v>
      </c>
      <c r="B155" s="26" t="n">
        <v>93.861703254</v>
      </c>
      <c r="K155" s="12" t="s">
        <v>168</v>
      </c>
    </row>
    <row r="156" customFormat="false" ht="15" hidden="false" customHeight="true" outlineLevel="0" collapsed="false">
      <c r="A156" s="13" t="s">
        <v>169</v>
      </c>
      <c r="B156" s="26" t="n">
        <v>818.058520455</v>
      </c>
      <c r="K156" s="12" t="s">
        <v>170</v>
      </c>
    </row>
    <row r="157" customFormat="false" ht="15" hidden="false" customHeight="true" outlineLevel="0" collapsed="false">
      <c r="A157" s="13" t="s">
        <v>171</v>
      </c>
      <c r="B157" s="26" t="n">
        <v>1354.984058813</v>
      </c>
      <c r="K157" s="12" t="s">
        <v>172</v>
      </c>
    </row>
    <row r="158" customFormat="false" ht="15" hidden="false" customHeight="true" outlineLevel="0" collapsed="false">
      <c r="A158" s="13" t="s">
        <v>173</v>
      </c>
      <c r="B158" s="26" t="n">
        <v>1383.7420378815</v>
      </c>
      <c r="K158" s="12" t="s">
        <v>174</v>
      </c>
    </row>
    <row r="159" customFormat="false" ht="15" hidden="false" customHeight="true" outlineLevel="0" collapsed="false">
      <c r="A159" s="13" t="s">
        <v>175</v>
      </c>
      <c r="B159" s="26" t="n">
        <v>2892.26855551333</v>
      </c>
      <c r="K159" s="12" t="s">
        <v>176</v>
      </c>
    </row>
    <row r="160" customFormat="false" ht="15" hidden="false" customHeight="true" outlineLevel="0" collapsed="false">
      <c r="A160" s="41"/>
      <c r="B160" s="41"/>
      <c r="C160" s="41"/>
      <c r="D160" s="41"/>
      <c r="E160" s="41"/>
      <c r="F160" s="41"/>
      <c r="G160" s="41"/>
      <c r="H160" s="41"/>
      <c r="I160" s="41"/>
    </row>
    <row r="162" customFormat="false" ht="15" hidden="false" customHeight="true" outlineLevel="0" collapsed="false">
      <c r="A162" s="6" t="s">
        <v>177</v>
      </c>
      <c r="B162" s="7"/>
      <c r="C162" s="7"/>
      <c r="D162" s="7"/>
      <c r="E162" s="7"/>
      <c r="F162" s="7"/>
      <c r="G162" s="7"/>
      <c r="H162" s="7"/>
      <c r="I162" s="7"/>
      <c r="K162" s="7"/>
    </row>
    <row r="163" customFormat="false" ht="25.5" hidden="false" customHeight="true" outlineLevel="0" collapsed="false">
      <c r="A163" s="3" t="s">
        <v>178</v>
      </c>
    </row>
    <row r="164" customFormat="false" ht="25.5" hidden="false" customHeight="true" outlineLevel="0" collapsed="false">
      <c r="A164" s="3" t="s">
        <v>179</v>
      </c>
    </row>
    <row r="165" customFormat="false" ht="25.5" hidden="false" customHeight="true" outlineLevel="0" collapsed="false">
      <c r="A165" s="3" t="s">
        <v>180</v>
      </c>
    </row>
    <row r="166" customFormat="false" ht="25.5" hidden="false" customHeight="true" outlineLevel="0" collapsed="false">
      <c r="A166" s="3" t="s">
        <v>181</v>
      </c>
    </row>
    <row r="167" customFormat="false" ht="25.5" hidden="false" customHeight="true" outlineLevel="0" collapsed="false">
      <c r="A167" s="3" t="s">
        <v>182</v>
      </c>
    </row>
    <row r="168" customFormat="false" ht="25.5" hidden="false" customHeight="true" outlineLevel="0" collapsed="false">
      <c r="A168" s="3" t="s">
        <v>183</v>
      </c>
    </row>
    <row r="169" customFormat="false" ht="25.5" hidden="false" customHeight="true" outlineLevel="0" collapsed="false">
      <c r="A169" s="3" t="s">
        <v>184</v>
      </c>
    </row>
    <row r="170" customFormat="false" ht="25.5" hidden="false" customHeight="true" outlineLevel="0" collapsed="false">
      <c r="A170" s="3" t="s">
        <v>185</v>
      </c>
    </row>
    <row r="171" customFormat="false" ht="25.5" hidden="false" customHeight="true" outlineLevel="0" collapsed="false">
      <c r="A171" s="3" t="s">
        <v>186</v>
      </c>
    </row>
    <row r="172" customFormat="false" ht="25.5" hidden="false" customHeight="true" outlineLevel="0" collapsed="false">
      <c r="A172" s="3" t="s">
        <v>187</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Aluminium Bahrain B.S.C. (Alba)  |  BHB: ALBH  |  Financial model, 28 August 2026&amp;R&amp;8 Al Ramz Investment Research  |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false"/>
  </sheetPr>
  <dimension ref="A1:K10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0" width="44"/>
    <col collapsed="false" customWidth="true" hidden="false" outlineLevel="0" max="5" min="2" style="0" width="17"/>
    <col collapsed="false" customWidth="true" hidden="false" outlineLevel="0" max="7" min="6" style="0" width="19"/>
    <col collapsed="false" customWidth="true" hidden="false" outlineLevel="0" max="8" min="8" style="0" width="14"/>
    <col collapsed="false" customWidth="true" hidden="false" outlineLevel="0" max="9" min="9" style="0" width="12"/>
    <col collapsed="false" customWidth="true" hidden="false" outlineLevel="0" max="10" min="10" style="0" width="2"/>
    <col collapsed="false" customWidth="true" hidden="false" outlineLevel="0" max="11" min="11" style="0" width="92"/>
  </cols>
  <sheetData>
    <row r="1" customFormat="false" ht="16.15" hidden="false" customHeight="false" outlineLevel="0" collapsed="false">
      <c r="A1" s="132" t="s">
        <v>803</v>
      </c>
    </row>
    <row r="2" customFormat="false" ht="15" hidden="false" customHeight="false" outlineLevel="0" collapsed="false">
      <c r="A2" s="133" t="s">
        <v>804</v>
      </c>
    </row>
    <row r="4" customFormat="false" ht="15" hidden="false" customHeight="false" outlineLevel="0" collapsed="false">
      <c r="A4" s="134" t="s">
        <v>805</v>
      </c>
      <c r="B4" s="134"/>
      <c r="C4" s="134"/>
      <c r="D4" s="134"/>
      <c r="E4" s="134"/>
      <c r="F4" s="134"/>
      <c r="G4" s="134"/>
      <c r="H4" s="134"/>
    </row>
    <row r="5" customFormat="false" ht="15" hidden="false" customHeight="false" outlineLevel="0" collapsed="false">
      <c r="A5" s="135" t="s">
        <v>806</v>
      </c>
    </row>
    <row r="6" customFormat="false" ht="31.5" hidden="false" customHeight="true" outlineLevel="0" collapsed="false">
      <c r="A6" s="115" t="s">
        <v>807</v>
      </c>
      <c r="B6" s="115" t="s">
        <v>808</v>
      </c>
      <c r="C6" s="115" t="s">
        <v>809</v>
      </c>
      <c r="D6" s="115" t="s">
        <v>810</v>
      </c>
      <c r="E6" s="115" t="s">
        <v>811</v>
      </c>
      <c r="F6" s="115" t="s">
        <v>812</v>
      </c>
      <c r="G6" s="115"/>
      <c r="H6" s="115" t="s">
        <v>813</v>
      </c>
      <c r="K6" s="116" t="s">
        <v>814</v>
      </c>
    </row>
    <row r="7" customFormat="false" ht="15" hidden="false" customHeight="false" outlineLevel="0" collapsed="false">
      <c r="A7" s="128" t="s">
        <v>815</v>
      </c>
      <c r="B7" s="10" t="n">
        <v>931</v>
      </c>
      <c r="C7" s="10" t="n">
        <v>836</v>
      </c>
      <c r="D7" s="10" t="n">
        <v>834</v>
      </c>
      <c r="E7" s="10" t="n">
        <v>895</v>
      </c>
    </row>
    <row r="8" customFormat="false" ht="15" hidden="false" customHeight="false" outlineLevel="0" collapsed="false">
      <c r="A8" s="128" t="s">
        <v>816</v>
      </c>
      <c r="B8" s="10" t="n">
        <v>104</v>
      </c>
      <c r="C8" s="10" t="n">
        <v>169</v>
      </c>
      <c r="D8" s="10" t="n">
        <v>317</v>
      </c>
      <c r="E8" s="10" t="n">
        <v>292</v>
      </c>
      <c r="F8" s="31" t="n">
        <v>220.5</v>
      </c>
    </row>
    <row r="9" customFormat="false" ht="15" hidden="false" customHeight="false" outlineLevel="0" collapsed="false">
      <c r="A9" s="128" t="s">
        <v>89</v>
      </c>
      <c r="B9" s="24" t="n">
        <v>0.111707841031149</v>
      </c>
      <c r="C9" s="24" t="n">
        <v>0.202153110047847</v>
      </c>
      <c r="D9" s="24" t="n">
        <v>0.380095923261391</v>
      </c>
      <c r="E9" s="24" t="n">
        <v>0.326256983240224</v>
      </c>
    </row>
    <row r="10" customFormat="false" ht="15" hidden="false" customHeight="false" outlineLevel="0" collapsed="false">
      <c r="A10" s="128" t="s">
        <v>817</v>
      </c>
      <c r="B10" s="37" t="n">
        <v>52.4</v>
      </c>
      <c r="C10" s="37" t="n">
        <v>127</v>
      </c>
      <c r="D10" s="37" t="n">
        <v>259</v>
      </c>
      <c r="E10" s="37" t="n">
        <v>227</v>
      </c>
    </row>
    <row r="11" customFormat="false" ht="15" hidden="false" customHeight="false" outlineLevel="0" collapsed="false">
      <c r="A11" s="128" t="s">
        <v>818</v>
      </c>
      <c r="D11" s="37" t="n">
        <v>154</v>
      </c>
      <c r="E11" s="37" t="n">
        <v>152</v>
      </c>
    </row>
    <row r="12" customFormat="false" ht="15" hidden="false" customHeight="false" outlineLevel="0" collapsed="false">
      <c r="A12" s="128" t="s">
        <v>819</v>
      </c>
      <c r="B12" s="10" t="n">
        <v>197</v>
      </c>
      <c r="C12" s="10" t="n">
        <v>266</v>
      </c>
      <c r="D12" s="10" t="n">
        <v>414</v>
      </c>
      <c r="E12" s="10" t="n">
        <v>533</v>
      </c>
    </row>
    <row r="13" customFormat="false" ht="15" hidden="false" customHeight="false" outlineLevel="0" collapsed="false">
      <c r="A13" s="128" t="s">
        <v>820</v>
      </c>
      <c r="B13" s="10" t="n">
        <v>544</v>
      </c>
      <c r="C13" s="10" t="n">
        <v>266</v>
      </c>
      <c r="D13" s="10" t="n">
        <v>292</v>
      </c>
      <c r="E13" s="10" t="n">
        <v>312</v>
      </c>
    </row>
    <row r="14" customFormat="false" ht="15" hidden="false" customHeight="false" outlineLevel="0" collapsed="false">
      <c r="A14" s="128" t="s">
        <v>821</v>
      </c>
      <c r="B14" s="37" t="n">
        <v>106</v>
      </c>
      <c r="C14" s="37" t="n">
        <v>49.4</v>
      </c>
      <c r="D14" s="37" t="n">
        <v>71.7</v>
      </c>
      <c r="E14" s="37" t="n">
        <v>111</v>
      </c>
    </row>
    <row r="15" customFormat="false" ht="15" hidden="false" customHeight="false" outlineLevel="0" collapsed="false">
      <c r="A15" s="128" t="s">
        <v>822</v>
      </c>
      <c r="B15" s="10" t="n">
        <v>438</v>
      </c>
      <c r="C15" s="10" t="n">
        <v>217</v>
      </c>
      <c r="D15" s="10" t="n">
        <v>220</v>
      </c>
      <c r="E15" s="10" t="n">
        <v>201</v>
      </c>
    </row>
    <row r="16" customFormat="false" ht="15" hidden="false" customHeight="false" outlineLevel="0" collapsed="false">
      <c r="A16" s="128" t="s">
        <v>412</v>
      </c>
      <c r="B16" s="111" t="n">
        <v>4.2</v>
      </c>
      <c r="C16" s="111" t="n">
        <v>1.3</v>
      </c>
      <c r="D16" s="111" t="n">
        <v>0.7</v>
      </c>
      <c r="E16" s="111" t="n">
        <v>0.7</v>
      </c>
    </row>
    <row r="18" customFormat="false" ht="15" hidden="false" customHeight="false" outlineLevel="0" collapsed="false">
      <c r="A18" s="134" t="s">
        <v>823</v>
      </c>
      <c r="B18" s="134"/>
      <c r="C18" s="134"/>
      <c r="D18" s="134"/>
      <c r="E18" s="134"/>
      <c r="F18" s="134"/>
      <c r="G18" s="134"/>
      <c r="H18" s="134"/>
    </row>
    <row r="19" customFormat="false" ht="31.5" hidden="false" customHeight="true" outlineLevel="0" collapsed="false">
      <c r="A19" s="115" t="s">
        <v>824</v>
      </c>
      <c r="B19" s="115" t="s">
        <v>825</v>
      </c>
      <c r="C19" s="115" t="s">
        <v>161</v>
      </c>
      <c r="D19" s="115" t="s">
        <v>826</v>
      </c>
      <c r="E19" s="115" t="s">
        <v>827</v>
      </c>
      <c r="F19" s="115" t="s">
        <v>828</v>
      </c>
      <c r="G19" s="115"/>
      <c r="H19" s="115" t="s">
        <v>829</v>
      </c>
    </row>
    <row r="20" customFormat="false" ht="15" hidden="false" customHeight="false" outlineLevel="0" collapsed="false">
      <c r="A20" s="128" t="s">
        <v>830</v>
      </c>
      <c r="B20" s="37" t="n">
        <v>292</v>
      </c>
      <c r="C20" s="26" t="n">
        <f aca="false">B20*1.1641</f>
        <v>339.9172</v>
      </c>
      <c r="D20" s="50" t="n">
        <f aca="false">C20/300*1000</f>
        <v>1133.05733333333</v>
      </c>
      <c r="E20" s="129" t="n">
        <f aca="false">$B$26/C20</f>
        <v>6.47216439768273</v>
      </c>
      <c r="F20" s="107" t="n">
        <f aca="false">D20/662</f>
        <v>1.71156696878147</v>
      </c>
    </row>
    <row r="21" customFormat="false" ht="15" hidden="false" customHeight="false" outlineLevel="0" collapsed="false">
      <c r="A21" s="128" t="s">
        <v>831</v>
      </c>
      <c r="B21" s="37" t="n">
        <v>317</v>
      </c>
      <c r="C21" s="26" t="n">
        <f aca="false">B21*1.1641</f>
        <v>369.0197</v>
      </c>
      <c r="D21" s="50" t="n">
        <f aca="false">C21/300*1000</f>
        <v>1230.06566666667</v>
      </c>
      <c r="E21" s="129" t="n">
        <f aca="false">$B$26/C21</f>
        <v>5.96174133792857</v>
      </c>
      <c r="F21" s="107" t="n">
        <f aca="false">D21/662</f>
        <v>1.8581052366566</v>
      </c>
    </row>
    <row r="22" customFormat="false" ht="15" hidden="false" customHeight="false" outlineLevel="0" collapsed="false">
      <c r="A22" s="128" t="s">
        <v>812</v>
      </c>
      <c r="B22" s="37" t="n">
        <v>220.5</v>
      </c>
      <c r="C22" s="26" t="n">
        <f aca="false">B22*1.1641</f>
        <v>256.68405</v>
      </c>
      <c r="D22" s="50" t="n">
        <f aca="false">C22/300*1000</f>
        <v>855.6135</v>
      </c>
      <c r="E22" s="129" t="n">
        <f aca="false">$B$26/C22</f>
        <v>8.57084809126239</v>
      </c>
      <c r="F22" s="107" t="n">
        <f aca="false">D22/662</f>
        <v>1.29246752265861</v>
      </c>
    </row>
    <row r="23" customFormat="false" ht="15" hidden="false" customHeight="false" outlineLevel="0" collapsed="false">
      <c r="A23" s="128" t="s">
        <v>809</v>
      </c>
      <c r="B23" s="37" t="n">
        <v>169</v>
      </c>
      <c r="C23" s="26" t="n">
        <f aca="false">B23*1.1641</f>
        <v>196.7329</v>
      </c>
      <c r="D23" s="50" t="n">
        <f aca="false">C23/300*1000</f>
        <v>655.776333333333</v>
      </c>
      <c r="E23" s="129" t="n">
        <f aca="false">$B$26/C23</f>
        <v>11.1826745806116</v>
      </c>
      <c r="F23" s="107" t="n">
        <f aca="false">D23/662</f>
        <v>0.990598690835851</v>
      </c>
    </row>
    <row r="24" customFormat="false" ht="15" hidden="false" customHeight="false" outlineLevel="0" collapsed="false">
      <c r="A24" s="128" t="s">
        <v>832</v>
      </c>
      <c r="B24" s="37" t="n">
        <v>104</v>
      </c>
      <c r="C24" s="26" t="n">
        <f aca="false">B24*1.1641</f>
        <v>121.0664</v>
      </c>
      <c r="D24" s="50" t="n">
        <f aca="false">C24/300*1000</f>
        <v>403.554666666667</v>
      </c>
      <c r="E24" s="129" t="n">
        <f aca="false">$B$26/C24</f>
        <v>18.1718461934938</v>
      </c>
      <c r="F24" s="107" t="n">
        <f aca="false">D24/662</f>
        <v>0.609599194360524</v>
      </c>
    </row>
    <row r="26" customFormat="false" ht="19" hidden="false" customHeight="false" outlineLevel="0" collapsed="false">
      <c r="A26" s="136" t="s">
        <v>833</v>
      </c>
      <c r="B26" s="137" t="n">
        <v>2200</v>
      </c>
      <c r="K26" s="116" t="s">
        <v>834</v>
      </c>
    </row>
    <row r="27" customFormat="false" ht="15" hidden="false" customHeight="false" outlineLevel="0" collapsed="false">
      <c r="A27" s="128" t="s">
        <v>835</v>
      </c>
      <c r="B27" s="31" t="n">
        <f aca="false">B26/300*1000</f>
        <v>7333.33333333333</v>
      </c>
    </row>
    <row r="28" customFormat="false" ht="27.5" hidden="false" customHeight="false" outlineLevel="0" collapsed="false">
      <c r="A28" s="128" t="s">
        <v>836</v>
      </c>
      <c r="B28" s="26" t="n">
        <f aca="false">(100/0.06+201)*1.1641</f>
        <v>2174.15076666667</v>
      </c>
      <c r="K28" s="116" t="s">
        <v>837</v>
      </c>
    </row>
    <row r="29" customFormat="false" ht="27.5" hidden="false" customHeight="false" outlineLevel="0" collapsed="false">
      <c r="A29" s="128" t="s">
        <v>838</v>
      </c>
      <c r="B29" s="137" t="n">
        <v>385</v>
      </c>
      <c r="K29" s="116" t="s">
        <v>839</v>
      </c>
    </row>
    <row r="31" customFormat="false" ht="15" hidden="false" customHeight="false" outlineLevel="0" collapsed="false">
      <c r="A31" s="134" t="s">
        <v>840</v>
      </c>
      <c r="B31" s="134"/>
      <c r="C31" s="134"/>
      <c r="D31" s="134"/>
      <c r="E31" s="134"/>
      <c r="F31" s="134"/>
      <c r="G31" s="134"/>
      <c r="H31" s="134"/>
    </row>
    <row r="32" customFormat="false" ht="15" hidden="false" customHeight="false" outlineLevel="0" collapsed="false">
      <c r="A32" s="135" t="s">
        <v>841</v>
      </c>
    </row>
    <row r="33" customFormat="false" ht="31.5" hidden="false" customHeight="true" outlineLevel="0" collapsed="false">
      <c r="A33" s="115" t="s">
        <v>842</v>
      </c>
      <c r="B33" s="115" t="s">
        <v>843</v>
      </c>
      <c r="C33" s="115" t="s">
        <v>844</v>
      </c>
      <c r="D33" s="115" t="s">
        <v>845</v>
      </c>
      <c r="E33" s="115" t="s">
        <v>846</v>
      </c>
      <c r="F33" s="115" t="s">
        <v>826</v>
      </c>
      <c r="G33" s="115" t="s">
        <v>827</v>
      </c>
      <c r="H33" s="115" t="s">
        <v>829</v>
      </c>
      <c r="K33" s="116" t="s">
        <v>847</v>
      </c>
    </row>
    <row r="34" customFormat="false" ht="15" hidden="false" customHeight="false" outlineLevel="0" collapsed="false">
      <c r="A34" s="10" t="n">
        <v>42</v>
      </c>
      <c r="B34" s="50" t="n">
        <f aca="false">A34-42</f>
        <v>0</v>
      </c>
      <c r="C34" s="26" t="n">
        <f aca="false">B34*3.942</f>
        <v>0</v>
      </c>
      <c r="D34" s="26" t="n">
        <f aca="false">292-C34</f>
        <v>292</v>
      </c>
      <c r="E34" s="26" t="n">
        <f aca="false">D34*1.1641</f>
        <v>339.9172</v>
      </c>
      <c r="F34" s="50" t="n">
        <f aca="false">E34/300*1000</f>
        <v>1133.05733333333</v>
      </c>
      <c r="G34" s="107" t="n">
        <f aca="false">$B$26/E34</f>
        <v>6.47216439768273</v>
      </c>
    </row>
    <row r="35" customFormat="false" ht="15" hidden="false" customHeight="false" outlineLevel="0" collapsed="false">
      <c r="A35" s="10" t="n">
        <v>55</v>
      </c>
      <c r="B35" s="50" t="n">
        <f aca="false">A35-42</f>
        <v>13</v>
      </c>
      <c r="C35" s="26" t="n">
        <f aca="false">B35*3.942</f>
        <v>51.246</v>
      </c>
      <c r="D35" s="26" t="n">
        <f aca="false">292-C35</f>
        <v>240.754</v>
      </c>
      <c r="E35" s="26" t="n">
        <f aca="false">D35*1.1641</f>
        <v>280.2617314</v>
      </c>
      <c r="F35" s="50" t="n">
        <f aca="false">E35/300*1000</f>
        <v>934.205771333333</v>
      </c>
      <c r="G35" s="107" t="n">
        <f aca="false">$B$26/E35</f>
        <v>7.84980521247147</v>
      </c>
    </row>
    <row r="36" customFormat="false" ht="15" hidden="false" customHeight="false" outlineLevel="0" collapsed="false">
      <c r="A36" s="10" t="n">
        <v>65</v>
      </c>
      <c r="B36" s="50" t="n">
        <f aca="false">A36-42</f>
        <v>23</v>
      </c>
      <c r="C36" s="26" t="n">
        <f aca="false">B36*3.942</f>
        <v>90.666</v>
      </c>
      <c r="D36" s="26" t="n">
        <f aca="false">292-C36</f>
        <v>201.334</v>
      </c>
      <c r="E36" s="26" t="n">
        <f aca="false">D36*1.1641</f>
        <v>234.3729094</v>
      </c>
      <c r="F36" s="50" t="n">
        <f aca="false">E36/300*1000</f>
        <v>781.243031333333</v>
      </c>
      <c r="G36" s="107" t="n">
        <f aca="false">$B$26/E36</f>
        <v>9.38675039547894</v>
      </c>
    </row>
    <row r="37" customFormat="false" ht="15" hidden="false" customHeight="false" outlineLevel="0" collapsed="false">
      <c r="A37" s="10" t="n">
        <v>75</v>
      </c>
      <c r="B37" s="50" t="n">
        <f aca="false">A37-42</f>
        <v>33</v>
      </c>
      <c r="C37" s="26" t="n">
        <f aca="false">B37*3.942</f>
        <v>130.086</v>
      </c>
      <c r="D37" s="26" t="n">
        <f aca="false">292-C37</f>
        <v>161.914</v>
      </c>
      <c r="E37" s="26" t="n">
        <f aca="false">D37*1.1641</f>
        <v>188.4840874</v>
      </c>
      <c r="F37" s="50" t="n">
        <f aca="false">E37/300*1000</f>
        <v>628.280291333333</v>
      </c>
      <c r="G37" s="107" t="n">
        <f aca="false">$B$26/E37</f>
        <v>11.672072854252</v>
      </c>
    </row>
    <row r="38" customFormat="false" ht="15" hidden="false" customHeight="false" outlineLevel="0" collapsed="false">
      <c r="A38" s="10" t="n">
        <v>85</v>
      </c>
      <c r="B38" s="50" t="n">
        <f aca="false">A38-42</f>
        <v>43</v>
      </c>
      <c r="C38" s="26" t="n">
        <f aca="false">B38*3.942</f>
        <v>169.506</v>
      </c>
      <c r="D38" s="26" t="n">
        <f aca="false">292-C38</f>
        <v>122.494</v>
      </c>
      <c r="E38" s="26" t="n">
        <f aca="false">D38*1.1641</f>
        <v>142.5952654</v>
      </c>
      <c r="F38" s="50" t="n">
        <f aca="false">E38/300*1000</f>
        <v>475.317551333333</v>
      </c>
      <c r="G38" s="107" t="n">
        <f aca="false">$B$26/E38</f>
        <v>15.4282822352389</v>
      </c>
    </row>
    <row r="39" customFormat="false" ht="15" hidden="false" customHeight="false" outlineLevel="0" collapsed="false">
      <c r="A39" s="10" t="n">
        <v>95</v>
      </c>
      <c r="B39" s="50" t="n">
        <f aca="false">A39-42</f>
        <v>53</v>
      </c>
      <c r="C39" s="26" t="n">
        <f aca="false">B39*3.942</f>
        <v>208.926</v>
      </c>
      <c r="D39" s="26" t="n">
        <f aca="false">292-C39</f>
        <v>83.074</v>
      </c>
      <c r="E39" s="26" t="n">
        <f aca="false">D39*1.1641</f>
        <v>96.7064434</v>
      </c>
      <c r="F39" s="50" t="n">
        <f aca="false">E39/300*1000</f>
        <v>322.354811333333</v>
      </c>
      <c r="G39" s="107" t="n">
        <f aca="false">$B$26/E39</f>
        <v>22.7492597458093</v>
      </c>
    </row>
    <row r="42" customFormat="false" ht="15" hidden="false" customHeight="false" outlineLevel="0" collapsed="false">
      <c r="A42" s="134" t="s">
        <v>848</v>
      </c>
      <c r="B42" s="134"/>
      <c r="C42" s="134"/>
      <c r="D42" s="134"/>
      <c r="E42" s="134"/>
      <c r="F42" s="134"/>
      <c r="G42" s="134"/>
      <c r="H42" s="134"/>
    </row>
    <row r="43" customFormat="false" ht="27.5" hidden="false" customHeight="false" outlineLevel="0" collapsed="false">
      <c r="A43" s="128" t="s">
        <v>849</v>
      </c>
      <c r="B43" s="138" t="s">
        <v>850</v>
      </c>
      <c r="K43" s="116" t="s">
        <v>851</v>
      </c>
    </row>
    <row r="44" customFormat="false" ht="15" hidden="false" customHeight="false" outlineLevel="0" collapsed="false">
      <c r="A44" s="128" t="s">
        <v>852</v>
      </c>
      <c r="B44" s="37" t="n">
        <v>292.8</v>
      </c>
    </row>
    <row r="45" customFormat="false" ht="15" hidden="false" customHeight="false" outlineLevel="0" collapsed="false">
      <c r="A45" s="128" t="s">
        <v>853</v>
      </c>
      <c r="B45" s="24" t="n">
        <v>0.2062</v>
      </c>
    </row>
    <row r="46" customFormat="false" ht="15" hidden="false" customHeight="false" outlineLevel="0" collapsed="false">
      <c r="A46" s="128" t="s">
        <v>854</v>
      </c>
      <c r="B46" s="37" t="n">
        <v>363.08</v>
      </c>
    </row>
    <row r="47" customFormat="false" ht="15" hidden="false" customHeight="false" outlineLevel="0" collapsed="false">
      <c r="A47" s="128" t="s">
        <v>855</v>
      </c>
      <c r="B47" s="26" t="n">
        <f aca="false">B46*2.6595745</f>
        <v>965.63830946</v>
      </c>
    </row>
    <row r="48" customFormat="false" ht="27.5" hidden="false" customHeight="false" outlineLevel="0" collapsed="false">
      <c r="A48" s="136" t="s">
        <v>856</v>
      </c>
      <c r="B48" s="67" t="n">
        <f aca="false">B46/B44</f>
        <v>1.24002732240437</v>
      </c>
      <c r="K48" s="116" t="s">
        <v>857</v>
      </c>
    </row>
    <row r="49" customFormat="false" ht="15" hidden="false" customHeight="false" outlineLevel="0" collapsed="false">
      <c r="A49" s="128" t="s">
        <v>858</v>
      </c>
      <c r="B49" s="26" t="n">
        <f aca="false">B48*1416.048</f>
        <v>1755.93820983607</v>
      </c>
    </row>
    <row r="50" customFormat="false" ht="15" hidden="false" customHeight="false" outlineLevel="0" collapsed="false">
      <c r="A50" s="128" t="s">
        <v>859</v>
      </c>
      <c r="B50" s="26" t="n">
        <f aca="false">B49*2.6595745</f>
        <v>4670.04848645565</v>
      </c>
    </row>
    <row r="51" customFormat="false" ht="15" hidden="false" customHeight="false" outlineLevel="0" collapsed="false">
      <c r="A51" s="128" t="s">
        <v>860</v>
      </c>
      <c r="B51" s="37" t="n">
        <v>1103</v>
      </c>
    </row>
    <row r="52" customFormat="false" ht="15" hidden="false" customHeight="false" outlineLevel="0" collapsed="false">
      <c r="A52" s="136" t="s">
        <v>861</v>
      </c>
      <c r="B52" s="35" t="n">
        <f aca="false">B50+B51</f>
        <v>5773.04848645565</v>
      </c>
    </row>
    <row r="53" customFormat="false" ht="15" hidden="false" customHeight="false" outlineLevel="0" collapsed="false">
      <c r="A53" s="128" t="s">
        <v>862</v>
      </c>
      <c r="B53" s="107" t="n">
        <f aca="false">B52/939</f>
        <v>6.14808145522433</v>
      </c>
    </row>
    <row r="54" customFormat="false" ht="15" hidden="false" customHeight="false" outlineLevel="0" collapsed="false">
      <c r="A54" s="128" t="s">
        <v>863</v>
      </c>
      <c r="B54" s="50" t="n">
        <f aca="false">B52/1623*1000</f>
        <v>3557.02309701519</v>
      </c>
    </row>
    <row r="55" customFormat="false" ht="15" hidden="false" customHeight="false" outlineLevel="0" collapsed="false">
      <c r="A55" s="128" t="s">
        <v>864</v>
      </c>
      <c r="B55" s="50" t="n">
        <f aca="false">B50/1623*1000</f>
        <v>2877.41742850009</v>
      </c>
    </row>
    <row r="56" customFormat="false" ht="15" hidden="false" customHeight="false" outlineLevel="0" collapsed="false">
      <c r="A56" s="128" t="s">
        <v>865</v>
      </c>
      <c r="B56" s="107" t="n">
        <f aca="false">B48/0.13</f>
        <v>9.53867171080286</v>
      </c>
    </row>
    <row r="57" customFormat="false" ht="15" hidden="false" customHeight="false" outlineLevel="0" collapsed="false">
      <c r="A57" s="128" t="s">
        <v>866</v>
      </c>
      <c r="B57" s="107" t="n">
        <f aca="false">B48/1.3587</f>
        <v>0.912657188786613</v>
      </c>
    </row>
    <row r="58" customFormat="false" ht="27.5" hidden="false" customHeight="false" outlineLevel="0" collapsed="false">
      <c r="A58" s="128" t="s">
        <v>867</v>
      </c>
      <c r="B58" s="14" t="n">
        <f aca="false">B48/0.878-1</f>
        <v>0.412331802282883</v>
      </c>
      <c r="K58" s="116" t="s">
        <v>868</v>
      </c>
    </row>
    <row r="61" customFormat="false" ht="19" hidden="false" customHeight="false" outlineLevel="0" collapsed="false">
      <c r="A61" s="134" t="s">
        <v>869</v>
      </c>
      <c r="B61" s="134"/>
      <c r="C61" s="134"/>
      <c r="D61" s="134"/>
      <c r="E61" s="134"/>
      <c r="F61" s="134"/>
      <c r="G61" s="134"/>
      <c r="H61" s="134"/>
      <c r="K61" s="116" t="s">
        <v>870</v>
      </c>
    </row>
    <row r="62" customFormat="false" ht="31.5" hidden="false" customHeight="true" outlineLevel="0" collapsed="false">
      <c r="A62" s="115" t="s">
        <v>871</v>
      </c>
      <c r="B62" s="115" t="s">
        <v>872</v>
      </c>
      <c r="C62" s="115" t="s">
        <v>873</v>
      </c>
      <c r="D62" s="115" t="s">
        <v>855</v>
      </c>
      <c r="E62" s="115" t="s">
        <v>874</v>
      </c>
      <c r="F62" s="115" t="s">
        <v>875</v>
      </c>
      <c r="G62" s="115" t="s">
        <v>876</v>
      </c>
      <c r="H62" s="115" t="s">
        <v>877</v>
      </c>
    </row>
    <row r="63" customFormat="false" ht="15" hidden="false" customHeight="false" outlineLevel="0" collapsed="false">
      <c r="A63" s="128" t="s">
        <v>878</v>
      </c>
      <c r="B63" s="128" t="s">
        <v>879</v>
      </c>
      <c r="C63" s="128" t="s">
        <v>880</v>
      </c>
      <c r="D63" s="10" t="n">
        <v>2200</v>
      </c>
      <c r="E63" s="10" t="n">
        <v>300</v>
      </c>
      <c r="F63" s="137" t="n">
        <v>7333</v>
      </c>
      <c r="G63" s="10" t="n">
        <v>3855</v>
      </c>
      <c r="K63" s="116" t="s">
        <v>881</v>
      </c>
    </row>
    <row r="64" customFormat="false" ht="27.5" hidden="false" customHeight="false" outlineLevel="0" collapsed="false">
      <c r="A64" s="128" t="s">
        <v>878</v>
      </c>
      <c r="B64" s="128" t="s">
        <v>882</v>
      </c>
      <c r="C64" s="128" t="s">
        <v>694</v>
      </c>
      <c r="D64" s="10" t="n">
        <v>4700</v>
      </c>
      <c r="G64" s="10" t="n">
        <v>3439</v>
      </c>
      <c r="K64" s="116" t="s">
        <v>883</v>
      </c>
    </row>
    <row r="65" customFormat="false" ht="19" hidden="false" customHeight="false" outlineLevel="0" collapsed="false">
      <c r="A65" s="128" t="s">
        <v>884</v>
      </c>
      <c r="B65" s="128" t="s">
        <v>885</v>
      </c>
      <c r="C65" s="128" t="s">
        <v>886</v>
      </c>
      <c r="D65" s="10" t="n">
        <v>903</v>
      </c>
      <c r="E65" s="10" t="n">
        <v>400</v>
      </c>
      <c r="F65" s="137" t="n">
        <v>3290</v>
      </c>
      <c r="G65" s="10" t="n">
        <v>3142</v>
      </c>
      <c r="K65" s="116" t="s">
        <v>887</v>
      </c>
    </row>
    <row r="66" customFormat="false" ht="19" hidden="false" customHeight="false" outlineLevel="0" collapsed="false">
      <c r="A66" s="128" t="s">
        <v>888</v>
      </c>
      <c r="B66" s="128" t="s">
        <v>889</v>
      </c>
      <c r="C66" s="128" t="s">
        <v>890</v>
      </c>
      <c r="D66" s="10" t="n">
        <v>1350</v>
      </c>
      <c r="E66" s="10" t="n">
        <v>202</v>
      </c>
      <c r="F66" s="137" t="n">
        <v>6690</v>
      </c>
      <c r="G66" s="10" t="n">
        <v>2450</v>
      </c>
      <c r="K66" s="116" t="s">
        <v>891</v>
      </c>
    </row>
    <row r="67" customFormat="false" ht="19" hidden="false" customHeight="false" outlineLevel="0" collapsed="false">
      <c r="A67" s="128" t="s">
        <v>892</v>
      </c>
      <c r="B67" s="128" t="s">
        <v>893</v>
      </c>
      <c r="C67" s="128" t="s">
        <v>894</v>
      </c>
      <c r="D67" s="10" t="n">
        <v>966</v>
      </c>
      <c r="E67" s="10" t="n">
        <v>1623</v>
      </c>
      <c r="F67" s="137" t="n">
        <v>3557</v>
      </c>
      <c r="G67" s="10" t="n">
        <v>2660</v>
      </c>
      <c r="K67" s="116" t="s">
        <v>895</v>
      </c>
    </row>
    <row r="68" customFormat="false" ht="15" hidden="false" customHeight="false" outlineLevel="0" collapsed="false">
      <c r="A68" s="128" t="s">
        <v>896</v>
      </c>
      <c r="B68" s="128" t="s">
        <v>897</v>
      </c>
      <c r="C68" s="128" t="s">
        <v>898</v>
      </c>
      <c r="E68" s="10" t="n">
        <v>300</v>
      </c>
      <c r="G68" s="10" t="n">
        <v>2934</v>
      </c>
      <c r="K68" s="116" t="s">
        <v>899</v>
      </c>
    </row>
    <row r="69" customFormat="false" ht="19" hidden="false" customHeight="false" outlineLevel="0" collapsed="false">
      <c r="A69" s="128" t="s">
        <v>900</v>
      </c>
      <c r="B69" s="128" t="s">
        <v>901</v>
      </c>
      <c r="C69" s="128" t="s">
        <v>902</v>
      </c>
      <c r="D69" s="10" t="n">
        <v>345</v>
      </c>
      <c r="E69" s="10" t="n">
        <v>205</v>
      </c>
      <c r="F69" s="137" t="n">
        <v>1683</v>
      </c>
      <c r="G69" s="10" t="n">
        <v>2182</v>
      </c>
      <c r="K69" s="116" t="s">
        <v>903</v>
      </c>
    </row>
    <row r="70" customFormat="false" ht="15" hidden="false" customHeight="false" outlineLevel="0" collapsed="false">
      <c r="A70" s="128" t="s">
        <v>904</v>
      </c>
      <c r="B70" s="128" t="s">
        <v>905</v>
      </c>
      <c r="C70" s="128" t="s">
        <v>906</v>
      </c>
      <c r="D70" s="10" t="n">
        <v>500</v>
      </c>
      <c r="E70" s="10" t="n">
        <v>282</v>
      </c>
      <c r="F70" s="137" t="n">
        <v>1773</v>
      </c>
      <c r="G70" s="10" t="n">
        <v>2210</v>
      </c>
      <c r="K70" s="116" t="s">
        <v>907</v>
      </c>
    </row>
    <row r="71" customFormat="false" ht="15" hidden="false" customHeight="false" outlineLevel="0" collapsed="false">
      <c r="A71" s="128" t="s">
        <v>908</v>
      </c>
      <c r="B71" s="128" t="s">
        <v>909</v>
      </c>
      <c r="C71" s="128" t="s">
        <v>910</v>
      </c>
      <c r="D71" s="10" t="n">
        <v>410</v>
      </c>
      <c r="E71" s="10" t="n">
        <v>47</v>
      </c>
      <c r="F71" s="137" t="n">
        <v>8723</v>
      </c>
      <c r="G71" s="10" t="n">
        <v>1737</v>
      </c>
      <c r="K71" s="116" t="s">
        <v>911</v>
      </c>
    </row>
    <row r="72" customFormat="false" ht="15" hidden="false" customHeight="false" outlineLevel="0" collapsed="false">
      <c r="A72" s="128" t="s">
        <v>912</v>
      </c>
      <c r="B72" s="128" t="s">
        <v>913</v>
      </c>
      <c r="C72" s="128" t="s">
        <v>914</v>
      </c>
      <c r="D72" s="10" t="n">
        <v>14</v>
      </c>
      <c r="E72" s="10" t="n">
        <v>263</v>
      </c>
      <c r="F72" s="137" t="n">
        <v>52</v>
      </c>
      <c r="G72" s="10" t="n">
        <v>1604</v>
      </c>
      <c r="K72" s="116" t="s">
        <v>915</v>
      </c>
    </row>
    <row r="73" customFormat="false" ht="27.5" hidden="false" customHeight="false" outlineLevel="0" collapsed="false">
      <c r="A73" s="128" t="s">
        <v>916</v>
      </c>
      <c r="B73" s="128" t="s">
        <v>917</v>
      </c>
      <c r="C73" s="128" t="s">
        <v>918</v>
      </c>
      <c r="K73" s="116" t="s">
        <v>919</v>
      </c>
    </row>
    <row r="75" customFormat="false" ht="27.5" hidden="false" customHeight="false" outlineLevel="0" collapsed="false">
      <c r="A75" s="134" t="s">
        <v>920</v>
      </c>
      <c r="B75" s="134"/>
      <c r="C75" s="134"/>
      <c r="D75" s="134"/>
      <c r="E75" s="134"/>
      <c r="F75" s="134"/>
      <c r="G75" s="134"/>
      <c r="H75" s="134"/>
      <c r="K75" s="116" t="s">
        <v>921</v>
      </c>
    </row>
    <row r="76" customFormat="false" ht="15" hidden="false" customHeight="false" outlineLevel="0" collapsed="false">
      <c r="A76" s="128" t="s">
        <v>922</v>
      </c>
      <c r="F76" s="10" t="n">
        <v>7333</v>
      </c>
      <c r="K76" s="116" t="s">
        <v>923</v>
      </c>
    </row>
    <row r="77" customFormat="false" ht="15" hidden="false" customHeight="false" outlineLevel="0" collapsed="false">
      <c r="A77" s="128" t="s">
        <v>726</v>
      </c>
      <c r="F77" s="10" t="n">
        <v>5445</v>
      </c>
    </row>
    <row r="78" customFormat="false" ht="15" hidden="false" customHeight="false" outlineLevel="0" collapsed="false">
      <c r="A78" s="136" t="s">
        <v>924</v>
      </c>
      <c r="F78" s="137" t="n">
        <v>3557</v>
      </c>
      <c r="K78" s="116" t="s">
        <v>925</v>
      </c>
    </row>
    <row r="79" customFormat="false" ht="15" hidden="false" customHeight="false" outlineLevel="0" collapsed="false">
      <c r="A79" s="128" t="s">
        <v>728</v>
      </c>
      <c r="F79" s="10" t="n">
        <v>2665</v>
      </c>
    </row>
    <row r="80" customFormat="false" ht="15" hidden="false" customHeight="false" outlineLevel="0" collapsed="false">
      <c r="A80" s="128" t="s">
        <v>729</v>
      </c>
      <c r="F80" s="10" t="n">
        <v>1773</v>
      </c>
      <c r="K80" s="116" t="s">
        <v>926</v>
      </c>
    </row>
    <row r="81" customFormat="false" ht="15" hidden="false" customHeight="false" outlineLevel="0" collapsed="false">
      <c r="A81" s="128" t="s">
        <v>927</v>
      </c>
      <c r="F81" s="10" t="n">
        <v>4221</v>
      </c>
    </row>
    <row r="82" customFormat="false" ht="15" hidden="false" customHeight="false" outlineLevel="0" collapsed="false">
      <c r="A82" s="128" t="s">
        <v>928</v>
      </c>
      <c r="F82" s="10" t="n">
        <v>2634</v>
      </c>
      <c r="K82" s="116" t="s">
        <v>929</v>
      </c>
    </row>
    <row r="83" customFormat="false" ht="15" hidden="false" customHeight="false" outlineLevel="0" collapsed="false">
      <c r="A83" s="135" t="s">
        <v>930</v>
      </c>
    </row>
    <row r="85" customFormat="false" ht="15" hidden="false" customHeight="false" outlineLevel="0" collapsed="false">
      <c r="A85" s="134" t="s">
        <v>931</v>
      </c>
      <c r="B85" s="134"/>
      <c r="C85" s="134"/>
      <c r="D85" s="134"/>
      <c r="E85" s="134"/>
      <c r="F85" s="134"/>
      <c r="G85" s="134"/>
      <c r="H85" s="134"/>
    </row>
    <row r="86" customFormat="false" ht="31.5" hidden="false" customHeight="true" outlineLevel="0" collapsed="false">
      <c r="A86" s="115" t="s">
        <v>932</v>
      </c>
      <c r="B86" s="115" t="s">
        <v>933</v>
      </c>
      <c r="C86" s="115" t="s">
        <v>934</v>
      </c>
      <c r="D86" s="115" t="s">
        <v>935</v>
      </c>
      <c r="E86" s="115" t="s">
        <v>936</v>
      </c>
      <c r="F86" s="115" t="s">
        <v>937</v>
      </c>
      <c r="G86" s="115"/>
      <c r="H86" s="115" t="s">
        <v>813</v>
      </c>
    </row>
    <row r="87" customFormat="false" ht="27.5" hidden="false" customHeight="false" outlineLevel="0" collapsed="false">
      <c r="A87" s="128" t="s">
        <v>938</v>
      </c>
      <c r="B87" s="128" t="s">
        <v>939</v>
      </c>
      <c r="C87" s="10" t="n">
        <v>3000</v>
      </c>
      <c r="D87" s="10" t="n">
        <v>540</v>
      </c>
      <c r="E87" s="31" t="n">
        <f aca="false">C87/D87*1000</f>
        <v>5555.55555555556</v>
      </c>
      <c r="F87" s="139" t="s">
        <v>940</v>
      </c>
      <c r="K87" s="116" t="s">
        <v>941</v>
      </c>
    </row>
    <row r="88" customFormat="false" ht="19" hidden="false" customHeight="false" outlineLevel="0" collapsed="false">
      <c r="A88" s="128" t="s">
        <v>942</v>
      </c>
      <c r="B88" s="128" t="s">
        <v>943</v>
      </c>
      <c r="C88" s="10" t="n">
        <v>4000</v>
      </c>
      <c r="D88" s="10" t="n">
        <v>600</v>
      </c>
      <c r="E88" s="31" t="n">
        <f aca="false">C88/D88*1000</f>
        <v>6666.66666666667</v>
      </c>
      <c r="F88" s="139" t="s">
        <v>944</v>
      </c>
      <c r="K88" s="116" t="s">
        <v>945</v>
      </c>
    </row>
    <row r="89" customFormat="false" ht="19" hidden="false" customHeight="false" outlineLevel="0" collapsed="false">
      <c r="A89" s="128" t="s">
        <v>946</v>
      </c>
      <c r="B89" s="128" t="s">
        <v>947</v>
      </c>
      <c r="C89" s="10" t="n">
        <v>2000</v>
      </c>
      <c r="D89" s="10" t="n">
        <v>500</v>
      </c>
      <c r="E89" s="31" t="n">
        <f aca="false">C89/D89*1000</f>
        <v>4000</v>
      </c>
      <c r="F89" s="139" t="s">
        <v>948</v>
      </c>
      <c r="K89" s="116" t="s">
        <v>949</v>
      </c>
    </row>
    <row r="90" customFormat="false" ht="19" hidden="false" customHeight="false" outlineLevel="0" collapsed="false">
      <c r="A90" s="128" t="s">
        <v>950</v>
      </c>
      <c r="B90" s="128" t="s">
        <v>951</v>
      </c>
      <c r="C90" s="10" t="n">
        <v>4500</v>
      </c>
      <c r="D90" s="10" t="n">
        <v>1000</v>
      </c>
      <c r="E90" s="31" t="n">
        <f aca="false">C90/D90*1000</f>
        <v>4500</v>
      </c>
      <c r="F90" s="139" t="s">
        <v>952</v>
      </c>
      <c r="K90" s="116" t="s">
        <v>953</v>
      </c>
    </row>
    <row r="91" customFormat="false" ht="19" hidden="false" customHeight="false" outlineLevel="0" collapsed="false">
      <c r="A91" s="128" t="s">
        <v>954</v>
      </c>
      <c r="B91" s="128" t="s">
        <v>955</v>
      </c>
      <c r="C91" s="10" t="n">
        <v>8000</v>
      </c>
      <c r="D91" s="10" t="n">
        <v>1000</v>
      </c>
      <c r="E91" s="31" t="n">
        <f aca="false">C91/D91*1000</f>
        <v>8000</v>
      </c>
      <c r="F91" s="139" t="s">
        <v>956</v>
      </c>
      <c r="K91" s="116" t="s">
        <v>957</v>
      </c>
    </row>
    <row r="92" customFormat="false" ht="15" hidden="false" customHeight="false" outlineLevel="0" collapsed="false">
      <c r="A92" s="135" t="s">
        <v>958</v>
      </c>
    </row>
    <row r="94" customFormat="false" ht="15" hidden="false" customHeight="false" outlineLevel="0" collapsed="false">
      <c r="A94" s="134" t="s">
        <v>959</v>
      </c>
      <c r="B94" s="134"/>
      <c r="C94" s="134"/>
      <c r="D94" s="134"/>
      <c r="E94" s="134"/>
      <c r="F94" s="134"/>
      <c r="G94" s="134"/>
      <c r="H94" s="134"/>
    </row>
    <row r="95" customFormat="false" ht="31.5" hidden="false" customHeight="true" outlineLevel="0" collapsed="false">
      <c r="A95" s="115" t="s">
        <v>824</v>
      </c>
      <c r="B95" s="115" t="s">
        <v>960</v>
      </c>
      <c r="C95" s="115" t="s">
        <v>754</v>
      </c>
      <c r="D95" s="115" t="s">
        <v>961</v>
      </c>
      <c r="E95" s="115" t="s">
        <v>962</v>
      </c>
      <c r="F95" s="115" t="s">
        <v>963</v>
      </c>
      <c r="G95" s="115" t="s">
        <v>964</v>
      </c>
      <c r="H95" s="115" t="s">
        <v>829</v>
      </c>
    </row>
    <row r="96" customFormat="false" ht="15" hidden="false" customHeight="false" outlineLevel="0" collapsed="false">
      <c r="A96" s="128" t="s">
        <v>965</v>
      </c>
      <c r="B96" s="108" t="n">
        <v>0.878</v>
      </c>
      <c r="C96" s="50" t="n">
        <f aca="false">B96*2.6595745*1416.048</f>
        <v>3306.62276308373</v>
      </c>
      <c r="D96" s="10" t="n">
        <v>564</v>
      </c>
      <c r="E96" s="50" t="n">
        <f aca="false">C96+D96</f>
        <v>3870.62276308373</v>
      </c>
      <c r="F96" s="31" t="n">
        <f aca="false">E96/1623*1000</f>
        <v>2384.85690886243</v>
      </c>
      <c r="G96" s="14" t="n">
        <f aca="false">F96/5556</f>
        <v>0.429239904402886</v>
      </c>
      <c r="K96" s="116" t="s">
        <v>966</v>
      </c>
    </row>
    <row r="97" customFormat="false" ht="15" hidden="false" customHeight="false" outlineLevel="0" collapsed="false">
      <c r="A97" s="128" t="s">
        <v>967</v>
      </c>
      <c r="B97" s="108" t="n">
        <v>0.878</v>
      </c>
      <c r="C97" s="50" t="n">
        <f aca="false">B97*2.6595745*1416.048</f>
        <v>3306.62276308373</v>
      </c>
      <c r="D97" s="10" t="n">
        <v>1759</v>
      </c>
      <c r="E97" s="50" t="n">
        <f aca="false">C97+D97</f>
        <v>5065.62276308373</v>
      </c>
      <c r="F97" s="31" t="n">
        <f aca="false">E97/1923*1000</f>
        <v>2634.22920597178</v>
      </c>
      <c r="G97" s="14" t="n">
        <f aca="false">F97/5556</f>
        <v>0.474123327208743</v>
      </c>
      <c r="K97" s="116" t="s">
        <v>968</v>
      </c>
    </row>
    <row r="98" customFormat="false" ht="15" hidden="false" customHeight="false" outlineLevel="0" collapsed="false">
      <c r="A98" s="128" t="s">
        <v>969</v>
      </c>
      <c r="B98" s="108" t="n">
        <v>1.24</v>
      </c>
      <c r="C98" s="50" t="n">
        <f aca="false">B98*2.6595745*1416.048</f>
        <v>4669.94558795424</v>
      </c>
      <c r="D98" s="10" t="n">
        <v>1103</v>
      </c>
      <c r="E98" s="50" t="n">
        <f aca="false">C98+D98</f>
        <v>5772.94558795424</v>
      </c>
      <c r="F98" s="31" t="n">
        <f aca="false">E98/1623*1000</f>
        <v>3556.95969682948</v>
      </c>
      <c r="G98" s="14" t="n">
        <f aca="false">F98/5556</f>
        <v>0.640201529306961</v>
      </c>
      <c r="K98" s="116" t="s">
        <v>970</v>
      </c>
    </row>
    <row r="99" customFormat="false" ht="15" hidden="false" customHeight="false" outlineLevel="0" collapsed="false">
      <c r="A99" s="128" t="s">
        <v>971</v>
      </c>
      <c r="B99" s="108" t="n">
        <v>1.0565</v>
      </c>
      <c r="C99" s="50" t="n">
        <f aca="false">B99*2.6595745*1416.048</f>
        <v>3978.86896264004</v>
      </c>
      <c r="D99" s="10" t="n">
        <v>1759</v>
      </c>
      <c r="E99" s="50" t="n">
        <f aca="false">C99+D99</f>
        <v>5737.86896264005</v>
      </c>
      <c r="F99" s="31" t="n">
        <f aca="false">E99/1923*1000</f>
        <v>2983.81121302134</v>
      </c>
      <c r="G99" s="14" t="n">
        <f aca="false">F99/5556</f>
        <v>0.53704305489945</v>
      </c>
      <c r="K99" s="116" t="s">
        <v>972</v>
      </c>
    </row>
    <row r="100" customFormat="false" ht="15" hidden="false" customHeight="false" outlineLevel="0" collapsed="false">
      <c r="A100" s="136" t="s">
        <v>973</v>
      </c>
      <c r="B100" s="108" t="n">
        <v>1.15</v>
      </c>
      <c r="C100" s="50" t="n">
        <f aca="false">B100*2.6595745*1416.048</f>
        <v>4330.9979243124</v>
      </c>
      <c r="D100" s="10" t="n">
        <v>1759</v>
      </c>
      <c r="E100" s="50" t="n">
        <f aca="false">C100+D100</f>
        <v>6089.9979243124</v>
      </c>
      <c r="F100" s="31" t="n">
        <f aca="false">E100/1923*1000</f>
        <v>3166.92559766635</v>
      </c>
      <c r="G100" s="14" t="n">
        <f aca="false">F100/5556</f>
        <v>0.570001007499344</v>
      </c>
      <c r="K100" s="116" t="s">
        <v>974</v>
      </c>
    </row>
    <row r="101" customFormat="false" ht="15" hidden="false" customHeight="false" outlineLevel="0" collapsed="false">
      <c r="A101" s="128" t="s">
        <v>975</v>
      </c>
      <c r="B101" s="108" t="n">
        <v>1.45</v>
      </c>
      <c r="C101" s="50" t="n">
        <f aca="false">B101*2.6595745*1416.048</f>
        <v>5460.8234697852</v>
      </c>
      <c r="D101" s="10" t="n">
        <v>1759</v>
      </c>
      <c r="E101" s="50" t="n">
        <f aca="false">C101+D101</f>
        <v>7219.8234697852</v>
      </c>
      <c r="F101" s="31" t="n">
        <f aca="false">E101/1923*1000</f>
        <v>3754.45838262361</v>
      </c>
      <c r="G101" s="14" t="n">
        <f aca="false">F101/5556</f>
        <v>0.67574844899633</v>
      </c>
      <c r="K101" s="116" t="s">
        <v>976</v>
      </c>
    </row>
    <row r="103" customFormat="false" ht="15" hidden="false" customHeight="false" outlineLevel="0" collapsed="false">
      <c r="A103" s="135" t="s">
        <v>977</v>
      </c>
    </row>
    <row r="104" customFormat="false" ht="15" hidden="false" customHeight="false" outlineLevel="0" collapsed="false">
      <c r="A104" s="135" t="s">
        <v>978</v>
      </c>
    </row>
    <row r="105" customFormat="false" ht="15" hidden="false" customHeight="false" outlineLevel="0" collapsed="false">
      <c r="A105" s="135" t="s">
        <v>979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false"/>
  </sheetPr>
  <dimension ref="A1:K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6"/>
    <col collapsed="false" customWidth="true" hidden="false" outlineLevel="0" max="4" min="2" style="1" width="15"/>
    <col collapsed="false" customWidth="true" hidden="false" outlineLevel="0" max="5" min="5" style="1" width="13"/>
    <col collapsed="false" customWidth="true" hidden="false" outlineLevel="0" max="6" min="6" style="1" width="15"/>
    <col collapsed="false" customWidth="true" hidden="false" outlineLevel="0" max="7" min="7" style="1" width="16"/>
    <col collapsed="false" customWidth="true" hidden="false" outlineLevel="0" max="8" min="8" style="1" width="13"/>
    <col collapsed="false" customWidth="true" hidden="false" outlineLevel="0" max="9" min="9" style="1" width="12"/>
    <col collapsed="false" customWidth="true" hidden="false" outlineLevel="0" max="10" min="10" style="1" width="2"/>
    <col collapsed="false" customWidth="true" hidden="false" outlineLevel="0" max="11" min="11" style="1" width="92"/>
  </cols>
  <sheetData>
    <row r="1" customFormat="false" ht="15.75" hidden="false" customHeight="true" outlineLevel="0" collapsed="false">
      <c r="A1" s="2" t="s">
        <v>980</v>
      </c>
    </row>
    <row r="2" customFormat="false" ht="15" hidden="false" customHeight="true" outlineLevel="0" collapsed="false">
      <c r="A2" s="114" t="s">
        <v>981</v>
      </c>
    </row>
    <row r="3" customFormat="false" ht="15" hidden="false" customHeight="true" outlineLevel="0" collapsed="false">
      <c r="A3" s="6" t="s">
        <v>982</v>
      </c>
      <c r="B3" s="6"/>
      <c r="C3" s="6"/>
      <c r="D3" s="6"/>
      <c r="E3" s="6"/>
      <c r="F3" s="6"/>
      <c r="G3" s="6"/>
      <c r="H3" s="6"/>
    </row>
    <row r="4" customFormat="false" ht="31.5" hidden="false" customHeight="true" outlineLevel="0" collapsed="false">
      <c r="A4" s="115" t="s">
        <v>983</v>
      </c>
      <c r="B4" s="115" t="s">
        <v>984</v>
      </c>
      <c r="C4" s="115" t="s">
        <v>464</v>
      </c>
      <c r="D4" s="115" t="s">
        <v>985</v>
      </c>
      <c r="E4" s="115" t="s">
        <v>986</v>
      </c>
      <c r="F4" s="115" t="s">
        <v>987</v>
      </c>
      <c r="G4" s="115" t="s">
        <v>988</v>
      </c>
      <c r="H4" s="115" t="s">
        <v>989</v>
      </c>
    </row>
    <row r="5" customFormat="false" ht="18.75" hidden="false" customHeight="true" outlineLevel="0" collapsed="false">
      <c r="A5" s="9" t="s">
        <v>990</v>
      </c>
      <c r="B5" s="108" t="n">
        <v>0.884</v>
      </c>
      <c r="C5" s="140" t="n">
        <v>1.056</v>
      </c>
      <c r="D5" s="108" t="n">
        <v>1.397</v>
      </c>
      <c r="E5" s="24" t="n">
        <v>0.3</v>
      </c>
      <c r="F5" s="102" t="n">
        <f aca="false">C5*E5</f>
        <v>0.3168</v>
      </c>
      <c r="G5" s="14" t="n">
        <f aca="false">C5/$B$14-1</f>
        <v>0.202733485193622</v>
      </c>
      <c r="K5" s="116" t="s">
        <v>991</v>
      </c>
    </row>
    <row r="6" customFormat="false" ht="18.75" hidden="false" customHeight="true" outlineLevel="0" collapsed="false">
      <c r="A6" s="9" t="s">
        <v>992</v>
      </c>
      <c r="B6" s="108" t="n">
        <v>1.04</v>
      </c>
      <c r="C6" s="140" t="n">
        <v>1.229</v>
      </c>
      <c r="D6" s="108" t="n">
        <v>1.458</v>
      </c>
      <c r="E6" s="24" t="n">
        <v>0.15</v>
      </c>
      <c r="F6" s="102" t="n">
        <f aca="false">C6*E6</f>
        <v>0.18435</v>
      </c>
      <c r="G6" s="14" t="n">
        <f aca="false">C6/$B$14-1</f>
        <v>0.399772209567198</v>
      </c>
      <c r="K6" s="116" t="s">
        <v>993</v>
      </c>
    </row>
    <row r="7" customFormat="false" ht="15" hidden="false" customHeight="true" outlineLevel="0" collapsed="false">
      <c r="A7" s="9" t="s">
        <v>994</v>
      </c>
      <c r="B7" s="108" t="n">
        <v>1.01</v>
      </c>
      <c r="C7" s="140" t="n">
        <v>1.214</v>
      </c>
      <c r="D7" s="108" t="n">
        <v>1.407</v>
      </c>
      <c r="E7" s="24" t="n">
        <v>0.15</v>
      </c>
      <c r="F7" s="102" t="n">
        <f aca="false">C7*E7</f>
        <v>0.1821</v>
      </c>
      <c r="G7" s="14" t="n">
        <f aca="false">C7/$B$14-1</f>
        <v>0.382687927107062</v>
      </c>
      <c r="K7" s="116" t="s">
        <v>995</v>
      </c>
    </row>
    <row r="8" customFormat="false" ht="18.75" hidden="false" customHeight="true" outlineLevel="0" collapsed="false">
      <c r="A8" s="9" t="s">
        <v>996</v>
      </c>
      <c r="B8" s="108" t="n">
        <v>0.843</v>
      </c>
      <c r="C8" s="140" t="n">
        <v>1.051</v>
      </c>
      <c r="D8" s="108" t="n">
        <v>1.383</v>
      </c>
      <c r="E8" s="24" t="n">
        <v>0.2</v>
      </c>
      <c r="F8" s="102" t="n">
        <f aca="false">C8*E8</f>
        <v>0.2102</v>
      </c>
      <c r="G8" s="14" t="n">
        <f aca="false">C8/$B$14-1</f>
        <v>0.197038724373576</v>
      </c>
      <c r="K8" s="116" t="s">
        <v>997</v>
      </c>
    </row>
    <row r="9" customFormat="false" ht="15" hidden="false" customHeight="true" outlineLevel="0" collapsed="false">
      <c r="A9" s="9" t="s">
        <v>998</v>
      </c>
      <c r="B9" s="108" t="n">
        <v>1.061</v>
      </c>
      <c r="C9" s="140" t="n">
        <v>1.206</v>
      </c>
      <c r="D9" s="108" t="n">
        <v>1.335</v>
      </c>
      <c r="E9" s="24" t="n">
        <v>0.1</v>
      </c>
      <c r="F9" s="102" t="n">
        <f aca="false">C9*E9</f>
        <v>0.1206</v>
      </c>
      <c r="G9" s="14" t="n">
        <f aca="false">C9/$B$14-1</f>
        <v>0.373576309794988</v>
      </c>
      <c r="K9" s="116" t="s">
        <v>999</v>
      </c>
    </row>
    <row r="10" customFormat="false" ht="18.75" hidden="false" customHeight="true" outlineLevel="0" collapsed="false">
      <c r="A10" s="9" t="s">
        <v>1000</v>
      </c>
      <c r="B10" s="108" t="n">
        <v>0.931</v>
      </c>
      <c r="C10" s="140" t="n">
        <v>1.318</v>
      </c>
      <c r="D10" s="108" t="n">
        <v>1.799</v>
      </c>
      <c r="E10" s="24" t="n">
        <v>0.1</v>
      </c>
      <c r="F10" s="102" t="n">
        <f aca="false">C10*E10</f>
        <v>0.1318</v>
      </c>
      <c r="G10" s="14" t="n">
        <f aca="false">C10/$B$14-1</f>
        <v>0.501138952164009</v>
      </c>
      <c r="K10" s="116" t="s">
        <v>1001</v>
      </c>
    </row>
    <row r="11" customFormat="false" ht="15" hidden="false" customHeight="true" outlineLevel="0" collapsed="false">
      <c r="A11" s="19" t="s">
        <v>1002</v>
      </c>
      <c r="B11" s="67" t="n">
        <f aca="false">SUMPRODUCT(B5:B10,E5:E10)</f>
        <v>0.9405</v>
      </c>
      <c r="C11" s="67" t="n">
        <f aca="false">SUM(F5:F10)</f>
        <v>1.14585</v>
      </c>
      <c r="D11" s="67" t="n">
        <f aca="false">SUMPRODUCT(D5:D10,E5:E10)</f>
        <v>1.43885</v>
      </c>
      <c r="E11" s="119" t="n">
        <f aca="false">SUM(E5:E10)</f>
        <v>1</v>
      </c>
    </row>
    <row r="12" customFormat="false" ht="15" hidden="false" customHeight="true" outlineLevel="0" collapsed="false">
      <c r="A12" s="19" t="s">
        <v>1003</v>
      </c>
      <c r="C12" s="67" t="n">
        <f aca="false">ROUND(C11,2)</f>
        <v>1.15</v>
      </c>
      <c r="K12" s="116" t="s">
        <v>1004</v>
      </c>
    </row>
    <row r="14" customFormat="false" ht="15" hidden="false" customHeight="true" outlineLevel="0" collapsed="false">
      <c r="A14" s="141" t="s">
        <v>620</v>
      </c>
      <c r="B14" s="142" t="n">
        <f aca="false">DCF!B54</f>
        <v>0.878</v>
      </c>
      <c r="C14" s="6"/>
      <c r="D14" s="6"/>
      <c r="E14" s="6"/>
      <c r="F14" s="6"/>
      <c r="G14" s="6"/>
      <c r="H14" s="6"/>
    </row>
    <row r="15" customFormat="false" ht="15" hidden="false" customHeight="true" outlineLevel="0" collapsed="false">
      <c r="A15" s="19" t="s">
        <v>671</v>
      </c>
      <c r="B15" s="67" t="n">
        <f aca="false">C12</f>
        <v>1.15</v>
      </c>
    </row>
    <row r="16" customFormat="false" ht="15" hidden="false" customHeight="true" outlineLevel="0" collapsed="false">
      <c r="A16" s="9" t="s">
        <v>1005</v>
      </c>
      <c r="B16" s="14" t="n">
        <f aca="false">B15/B14-1</f>
        <v>0.309794988610478</v>
      </c>
    </row>
    <row r="17" customFormat="false" ht="15" hidden="false" customHeight="true" outlineLevel="0" collapsed="false">
      <c r="A17" s="9" t="s">
        <v>1006</v>
      </c>
      <c r="B17" s="102" t="n">
        <f aca="false">B14*1.15</f>
        <v>1.0097</v>
      </c>
    </row>
    <row r="18" customFormat="false" ht="15" hidden="false" customHeight="true" outlineLevel="0" collapsed="false">
      <c r="A18" s="9" t="s">
        <v>1007</v>
      </c>
      <c r="B18" s="102" t="n">
        <f aca="false">B14*0.85</f>
        <v>0.7463</v>
      </c>
    </row>
    <row r="19" customFormat="false" ht="15" hidden="false" customHeight="true" outlineLevel="0" collapsed="false">
      <c r="A19" s="19" t="s">
        <v>1008</v>
      </c>
      <c r="B19" s="143" t="str">
        <f aca="false">IF(B16&gt;0.15,"OVER-WEIGHT",IF(B16&lt;-0.15,"UNDER-WEIGHT","EQUAL-WEIGHT"))</f>
        <v>OVER-WEIGHT</v>
      </c>
      <c r="K19" s="116" t="s">
        <v>1009</v>
      </c>
    </row>
    <row r="21" customFormat="false" ht="15" hidden="false" customHeight="true" outlineLevel="0" collapsed="false">
      <c r="A21" s="6" t="s">
        <v>1010</v>
      </c>
      <c r="B21" s="6"/>
      <c r="C21" s="6"/>
      <c r="D21" s="6"/>
      <c r="E21" s="6"/>
      <c r="F21" s="6"/>
      <c r="G21" s="6"/>
      <c r="H21" s="6"/>
    </row>
    <row r="22" customFormat="false" ht="31.5" hidden="false" customHeight="true" outlineLevel="0" collapsed="false">
      <c r="A22" s="115" t="s">
        <v>1011</v>
      </c>
      <c r="B22" s="115" t="s">
        <v>1012</v>
      </c>
      <c r="C22" s="115" t="s">
        <v>1013</v>
      </c>
      <c r="D22" s="115" t="s">
        <v>1014</v>
      </c>
      <c r="E22" s="115" t="s">
        <v>1015</v>
      </c>
      <c r="F22" s="115"/>
      <c r="G22" s="115"/>
      <c r="H22" s="115" t="s">
        <v>829</v>
      </c>
    </row>
    <row r="23" customFormat="false" ht="15" hidden="false" customHeight="true" outlineLevel="0" collapsed="false">
      <c r="A23" s="9" t="s">
        <v>1016</v>
      </c>
      <c r="B23" s="108" t="n">
        <v>0.884</v>
      </c>
      <c r="C23" s="108" t="n">
        <v>1.397</v>
      </c>
      <c r="D23" s="108" t="n">
        <v>1.056</v>
      </c>
      <c r="E23" s="102" t="n">
        <f aca="false">C23-B23</f>
        <v>0.513</v>
      </c>
    </row>
    <row r="24" customFormat="false" ht="15" hidden="false" customHeight="true" outlineLevel="0" collapsed="false">
      <c r="A24" s="9" t="s">
        <v>1017</v>
      </c>
      <c r="B24" s="108" t="n">
        <v>1.04</v>
      </c>
      <c r="C24" s="108" t="n">
        <v>1.458</v>
      </c>
      <c r="D24" s="108" t="n">
        <v>1.229</v>
      </c>
      <c r="E24" s="102" t="n">
        <f aca="false">C24-B24</f>
        <v>0.418</v>
      </c>
    </row>
    <row r="25" customFormat="false" ht="15" hidden="false" customHeight="true" outlineLevel="0" collapsed="false">
      <c r="A25" s="9" t="s">
        <v>1018</v>
      </c>
      <c r="B25" s="108" t="n">
        <v>1.01</v>
      </c>
      <c r="C25" s="108" t="n">
        <v>1.407</v>
      </c>
      <c r="D25" s="108" t="n">
        <v>1.214</v>
      </c>
      <c r="E25" s="102" t="n">
        <f aca="false">C25-B25</f>
        <v>0.397</v>
      </c>
    </row>
    <row r="26" customFormat="false" ht="15" hidden="false" customHeight="true" outlineLevel="0" collapsed="false">
      <c r="A26" s="9" t="s">
        <v>1019</v>
      </c>
      <c r="B26" s="108" t="n">
        <v>0.843</v>
      </c>
      <c r="C26" s="108" t="n">
        <v>1.383</v>
      </c>
      <c r="D26" s="108" t="n">
        <v>1.051</v>
      </c>
      <c r="E26" s="102" t="n">
        <f aca="false">C26-B26</f>
        <v>0.54</v>
      </c>
    </row>
    <row r="27" customFormat="false" ht="15" hidden="false" customHeight="true" outlineLevel="0" collapsed="false">
      <c r="A27" s="9" t="s">
        <v>1020</v>
      </c>
      <c r="B27" s="108" t="n">
        <v>1.061</v>
      </c>
      <c r="C27" s="108" t="n">
        <v>1.335</v>
      </c>
      <c r="D27" s="108" t="n">
        <v>1.206</v>
      </c>
      <c r="E27" s="102" t="n">
        <f aca="false">C27-B27</f>
        <v>0.274</v>
      </c>
    </row>
    <row r="28" customFormat="false" ht="15" hidden="false" customHeight="true" outlineLevel="0" collapsed="false">
      <c r="A28" s="9" t="s">
        <v>1000</v>
      </c>
      <c r="B28" s="108" t="n">
        <v>0.931</v>
      </c>
      <c r="C28" s="108" t="n">
        <v>1.799</v>
      </c>
      <c r="D28" s="108" t="n">
        <v>1.318</v>
      </c>
      <c r="E28" s="102" t="n">
        <f aca="false">C28-B28</f>
        <v>0.868</v>
      </c>
    </row>
    <row r="29" customFormat="false" ht="15" hidden="false" customHeight="true" outlineLevel="0" collapsed="false">
      <c r="A29" s="9" t="s">
        <v>1021</v>
      </c>
      <c r="B29" s="108" t="n">
        <v>1.3</v>
      </c>
      <c r="C29" s="108" t="n">
        <v>1.75</v>
      </c>
      <c r="D29" s="108" t="n">
        <v>1.45</v>
      </c>
      <c r="E29" s="102" t="n">
        <f aca="false">C29-B29</f>
        <v>0.45</v>
      </c>
    </row>
    <row r="30" customFormat="false" ht="18.75" hidden="false" customHeight="true" outlineLevel="0" collapsed="false">
      <c r="A30" s="9" t="s">
        <v>1022</v>
      </c>
      <c r="B30" s="108" t="n">
        <v>0.715</v>
      </c>
      <c r="C30" s="108" t="n">
        <v>1.15</v>
      </c>
      <c r="D30" s="108" t="n">
        <v>0.878</v>
      </c>
      <c r="E30" s="102" t="n">
        <f aca="false">C30-B30</f>
        <v>0.435</v>
      </c>
      <c r="K30" s="116" t="s">
        <v>1023</v>
      </c>
    </row>
    <row r="31" customFormat="false" ht="15" hidden="false" customHeight="true" outlineLevel="0" collapsed="false">
      <c r="A31" s="19" t="s">
        <v>1024</v>
      </c>
      <c r="D31" s="144" t="n">
        <f aca="false">B14</f>
        <v>0.878</v>
      </c>
    </row>
    <row r="32" customFormat="false" ht="15" hidden="false" customHeight="true" outlineLevel="0" collapsed="false">
      <c r="A32" s="19" t="s">
        <v>1025</v>
      </c>
      <c r="D32" s="144" t="n">
        <f aca="false">B15</f>
        <v>1.15</v>
      </c>
    </row>
    <row r="34" customFormat="false" ht="15" hidden="false" customHeight="true" outlineLevel="0" collapsed="false">
      <c r="A34" s="6" t="s">
        <v>1026</v>
      </c>
      <c r="B34" s="6"/>
      <c r="C34" s="6"/>
      <c r="D34" s="6"/>
      <c r="E34" s="6"/>
      <c r="F34" s="6"/>
      <c r="G34" s="6"/>
      <c r="H34" s="6"/>
    </row>
    <row r="35" customFormat="false" ht="15" hidden="false" customHeight="true" outlineLevel="0" collapsed="false">
      <c r="A35" s="9" t="s">
        <v>1027</v>
      </c>
      <c r="B35" s="26" t="n">
        <f aca="false">B15*'DCF Inputs'!B40*'DCF Inputs'!B38</f>
        <v>4330.9979243124</v>
      </c>
    </row>
    <row r="36" customFormat="false" ht="15" hidden="false" customHeight="true" outlineLevel="0" collapsed="false">
      <c r="A36" s="9" t="s">
        <v>1028</v>
      </c>
      <c r="B36" s="26" t="n">
        <f aca="false">B35+'Balance Sheet'!E87</f>
        <v>6090.22789537052</v>
      </c>
    </row>
    <row r="37" customFormat="false" ht="15" hidden="false" customHeight="true" outlineLevel="0" collapsed="false">
      <c r="A37" s="9" t="s">
        <v>1029</v>
      </c>
      <c r="B37" s="107" t="n">
        <f aca="false">B36/'Income Statement'!I27</f>
        <v>4.81975170310707</v>
      </c>
    </row>
    <row r="38" customFormat="false" ht="15" hidden="false" customHeight="true" outlineLevel="0" collapsed="false">
      <c r="A38" s="9" t="s">
        <v>1030</v>
      </c>
      <c r="B38" s="50" t="n">
        <f aca="false">B36/1923*1000</f>
        <v>3167.04518740017</v>
      </c>
    </row>
    <row r="39" customFormat="false" ht="15" hidden="false" customHeight="true" outlineLevel="0" collapsed="false">
      <c r="A39" s="9" t="s">
        <v>1031</v>
      </c>
      <c r="B39" s="14" t="n">
        <f aca="false">B38/5556</f>
        <v>0.570022531929476</v>
      </c>
    </row>
    <row r="40" customFormat="false" ht="15" hidden="false" customHeight="true" outlineLevel="0" collapsed="false">
      <c r="A40" s="9" t="s">
        <v>1032</v>
      </c>
      <c r="B40" s="107" t="n">
        <f aca="false">B15/('Income Statement'!F53/1000)</f>
        <v>5.00002079381133</v>
      </c>
    </row>
    <row r="41" customFormat="false" ht="15" hidden="false" customHeight="true" outlineLevel="0" collapsed="false">
      <c r="A41" s="9" t="s">
        <v>1033</v>
      </c>
      <c r="B41" s="107" t="n">
        <f aca="false">B15/('Income Statement'!I53/1000)</f>
        <v>7.77941182424711</v>
      </c>
    </row>
    <row r="42" customFormat="false" ht="15" hidden="false" customHeight="true" outlineLevel="0" collapsed="false">
      <c r="A42" s="9" t="s">
        <v>1034</v>
      </c>
      <c r="B42" s="107" t="n">
        <f aca="false">B15/'Balance Sheet'!E92</f>
        <v>0.729244552254776</v>
      </c>
    </row>
    <row r="43" customFormat="false" ht="15" hidden="false" customHeight="true" outlineLevel="0" collapsed="false">
      <c r="A43" s="9" t="s">
        <v>1035</v>
      </c>
      <c r="B43" s="14" t="n">
        <f aca="false">('Income Statement'!I55/1000)/B15</f>
        <v>0.0522608673376353</v>
      </c>
    </row>
    <row r="44" customFormat="false" ht="15" hidden="false" customHeight="true" outlineLevel="0" collapsed="false">
      <c r="A44" s="9" t="s">
        <v>1036</v>
      </c>
      <c r="B44" s="14" t="n">
        <f aca="false">B15/1.24-1</f>
        <v>-0.0725806451612904</v>
      </c>
    </row>
    <row r="45" customFormat="false" ht="27" hidden="false" customHeight="true" outlineLevel="0" collapsed="false">
      <c r="A45" s="9" t="s">
        <v>1037</v>
      </c>
      <c r="B45" s="14" t="n">
        <f aca="false">B15/1.45-1</f>
        <v>-0.206896551724138</v>
      </c>
      <c r="K45" s="116" t="s">
        <v>1038</v>
      </c>
    </row>
    <row r="47" customFormat="false" ht="15" hidden="false" customHeight="true" outlineLevel="0" collapsed="false">
      <c r="A47" s="3" t="s">
        <v>1039</v>
      </c>
    </row>
    <row r="48" customFormat="false" ht="15" hidden="false" customHeight="true" outlineLevel="0" collapsed="false">
      <c r="A48" s="3" t="s">
        <v>1040</v>
      </c>
    </row>
    <row r="49" customFormat="false" ht="15" hidden="false" customHeight="true" outlineLevel="0" collapsed="false">
      <c r="A49" s="3" t="s">
        <v>1041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E79"/>
    <pageSetUpPr fitToPage="true"/>
  </sheetPr>
  <dimension ref="A1:K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78"/>
  </cols>
  <sheetData>
    <row r="1" customFormat="false" ht="15.75" hidden="false" customHeight="true" outlineLevel="0" collapsed="false">
      <c r="A1" s="2" t="s">
        <v>188</v>
      </c>
    </row>
    <row r="2" customFormat="false" ht="15" hidden="false" customHeight="true" outlineLevel="0" collapsed="false">
      <c r="A2" s="3" t="s">
        <v>189</v>
      </c>
    </row>
    <row r="4" customFormat="false" ht="15" hidden="false" customHeight="true" outlineLevel="0" collapsed="false">
      <c r="B4" s="4" t="s">
        <v>2</v>
      </c>
      <c r="C4" s="4" t="s">
        <v>3</v>
      </c>
      <c r="D4" s="4" t="s">
        <v>4</v>
      </c>
      <c r="E4" s="4" t="s">
        <v>5</v>
      </c>
      <c r="F4" s="4" t="s">
        <v>6</v>
      </c>
      <c r="G4" s="4" t="s">
        <v>7</v>
      </c>
      <c r="H4" s="4" t="s">
        <v>8</v>
      </c>
      <c r="I4" s="4" t="s">
        <v>9</v>
      </c>
      <c r="K4" s="5" t="s">
        <v>10</v>
      </c>
    </row>
    <row r="6" customFormat="false" ht="15" hidden="false" customHeight="true" outlineLevel="0" collapsed="false">
      <c r="A6" s="6" t="s">
        <v>190</v>
      </c>
      <c r="B6" s="7"/>
      <c r="C6" s="7"/>
      <c r="D6" s="7"/>
      <c r="E6" s="7"/>
      <c r="F6" s="7"/>
      <c r="G6" s="7"/>
      <c r="H6" s="7"/>
      <c r="I6" s="7"/>
      <c r="K6" s="7"/>
    </row>
    <row r="7" customFormat="false" ht="15" hidden="false" customHeight="true" outlineLevel="0" collapsed="false">
      <c r="A7" s="19" t="s">
        <v>191</v>
      </c>
      <c r="B7" s="56" t="n">
        <f aca="false">'Revenue Model'!B117</f>
        <v>4106.138347146</v>
      </c>
      <c r="C7" s="56" t="n">
        <f aca="false">'Revenue Model'!C117</f>
        <v>4313.106434736</v>
      </c>
      <c r="D7" s="56" t="n">
        <f aca="false">'Revenue Model'!D117</f>
        <v>4730.776652514</v>
      </c>
      <c r="E7" s="57" t="n">
        <f aca="false">'Revenue Model'!E117</f>
        <v>3898.23596</v>
      </c>
      <c r="F7" s="57" t="n">
        <f aca="false">'Revenue Model'!F117</f>
        <v>5373.55</v>
      </c>
      <c r="G7" s="57" t="n">
        <f aca="false">'Revenue Model'!G117</f>
        <v>5799.25</v>
      </c>
      <c r="H7" s="57" t="n">
        <f aca="false">'Revenue Model'!H117</f>
        <v>5879.85</v>
      </c>
      <c r="I7" s="57" t="n">
        <f aca="false">'Revenue Model'!I117</f>
        <v>5840.6</v>
      </c>
      <c r="K7" s="12" t="s">
        <v>192</v>
      </c>
    </row>
    <row r="8" customFormat="false" ht="15" hidden="false" customHeight="true" outlineLevel="0" collapsed="false">
      <c r="A8" s="16" t="s">
        <v>20</v>
      </c>
      <c r="C8" s="22" t="n">
        <f aca="false">C7/B7-1</f>
        <v>0.0504045577845313</v>
      </c>
      <c r="D8" s="22" t="n">
        <f aca="false">D7/C7-1</f>
        <v>0.0968374474634464</v>
      </c>
      <c r="E8" s="23" t="n">
        <f aca="false">E7/D7-1</f>
        <v>-0.175983935337885</v>
      </c>
      <c r="F8" s="23" t="n">
        <f aca="false">F7/E7-1</f>
        <v>0.37845683410093</v>
      </c>
      <c r="G8" s="23" t="n">
        <f aca="false">G7/F7-1</f>
        <v>0.0792213713466889</v>
      </c>
      <c r="H8" s="23" t="n">
        <f aca="false">H7/G7-1</f>
        <v>0.01389834892443</v>
      </c>
      <c r="I8" s="23" t="n">
        <f aca="false">I7/H7-1</f>
        <v>-0.0066753403573222</v>
      </c>
    </row>
    <row r="9" customFormat="false" ht="15" hidden="false" customHeight="true" outlineLevel="0" collapsed="false">
      <c r="A9" s="9" t="s">
        <v>193</v>
      </c>
      <c r="B9" s="60" t="n">
        <f aca="false">-'Revenue Model'!B139</f>
        <v>-3431.9601475665</v>
      </c>
      <c r="C9" s="60" t="n">
        <f aca="false">-'Revenue Model'!C139</f>
        <v>-3480.5718502775</v>
      </c>
      <c r="D9" s="60" t="n">
        <f aca="false">-'Revenue Model'!D139</f>
        <v>-3840.9282375805</v>
      </c>
      <c r="E9" s="61" t="n">
        <f aca="false">-'Revenue Model'!E139</f>
        <v>-2970.20417892496</v>
      </c>
      <c r="F9" s="61" t="n">
        <f aca="false">-'Revenue Model'!F139</f>
        <v>-4048.01537410016</v>
      </c>
      <c r="G9" s="61" t="n">
        <f aca="false">-'Revenue Model'!G139</f>
        <v>-4444.45480519259</v>
      </c>
      <c r="H9" s="61" t="n">
        <f aca="false">-'Revenue Model'!H139</f>
        <v>-4770.9654651213</v>
      </c>
      <c r="I9" s="61" t="n">
        <f aca="false">-'Revenue Model'!I139</f>
        <v>-4861.98341146456</v>
      </c>
      <c r="K9" s="12" t="s">
        <v>194</v>
      </c>
    </row>
    <row r="10" customFormat="false" ht="15" hidden="false" customHeight="true" outlineLevel="0" collapsed="false">
      <c r="A10" s="19" t="s">
        <v>195</v>
      </c>
      <c r="B10" s="35" t="n">
        <f aca="false">B7+B9</f>
        <v>674.1781995795</v>
      </c>
      <c r="C10" s="35" t="n">
        <f aca="false">C7+C9</f>
        <v>832.5345844585</v>
      </c>
      <c r="D10" s="35" t="n">
        <f aca="false">D7+D9</f>
        <v>889.8484149335</v>
      </c>
      <c r="E10" s="36" t="n">
        <f aca="false">E7+E9</f>
        <v>928.031781075043</v>
      </c>
      <c r="F10" s="36" t="n">
        <f aca="false">F7+F9</f>
        <v>1325.53462589984</v>
      </c>
      <c r="G10" s="36" t="n">
        <f aca="false">G7+G9</f>
        <v>1354.79519480741</v>
      </c>
      <c r="H10" s="36" t="n">
        <f aca="false">H7+H9</f>
        <v>1108.8845348787</v>
      </c>
      <c r="I10" s="36" t="n">
        <f aca="false">I7+I9</f>
        <v>978.616588535443</v>
      </c>
    </row>
    <row r="11" customFormat="false" ht="15" hidden="false" customHeight="true" outlineLevel="0" collapsed="false">
      <c r="A11" s="28" t="s">
        <v>196</v>
      </c>
      <c r="B11" s="45" t="n">
        <f aca="false">B10/B7</f>
        <v>0.164187892024654</v>
      </c>
      <c r="C11" s="45" t="n">
        <f aca="false">C10/C7</f>
        <v>0.193024354269027</v>
      </c>
      <c r="D11" s="45" t="n">
        <f aca="false">D10/D7</f>
        <v>0.188097743836759</v>
      </c>
      <c r="E11" s="46" t="n">
        <f aca="false">E10/E7</f>
        <v>0.238064547810247</v>
      </c>
      <c r="F11" s="46" t="n">
        <f aca="false">F10/F7</f>
        <v>0.246677638786247</v>
      </c>
      <c r="G11" s="46" t="n">
        <f aca="false">G10/G7</f>
        <v>0.233615587327226</v>
      </c>
      <c r="H11" s="46" t="n">
        <f aca="false">H10/H7</f>
        <v>0.188590616236588</v>
      </c>
      <c r="I11" s="46" t="n">
        <f aca="false">I10/I7</f>
        <v>0.167554119189029</v>
      </c>
    </row>
    <row r="13" customFormat="false" ht="15" hidden="false" customHeight="true" outlineLevel="0" collapsed="false">
      <c r="A13" s="6" t="s">
        <v>197</v>
      </c>
      <c r="B13" s="7"/>
      <c r="C13" s="7"/>
      <c r="D13" s="7"/>
      <c r="E13" s="7"/>
      <c r="F13" s="7"/>
      <c r="G13" s="7"/>
      <c r="H13" s="7"/>
      <c r="I13" s="7"/>
      <c r="K13" s="7"/>
    </row>
    <row r="14" customFormat="false" ht="15" hidden="false" customHeight="true" outlineLevel="0" collapsed="false">
      <c r="A14" s="9" t="s">
        <v>198</v>
      </c>
      <c r="B14" s="37" t="n">
        <v>9.7632979895</v>
      </c>
      <c r="C14" s="37" t="n">
        <v>12.1037235495</v>
      </c>
      <c r="D14" s="37" t="n">
        <v>11.643617161</v>
      </c>
      <c r="E14" s="38" t="n">
        <v>77</v>
      </c>
      <c r="F14" s="38" t="n">
        <v>12</v>
      </c>
      <c r="G14" s="38" t="n">
        <v>12</v>
      </c>
      <c r="H14" s="38" t="n">
        <v>12</v>
      </c>
      <c r="I14" s="38" t="n">
        <v>12</v>
      </c>
      <c r="K14" s="12" t="s">
        <v>199</v>
      </c>
    </row>
    <row r="15" customFormat="false" ht="15" hidden="false" customHeight="true" outlineLevel="0" collapsed="false">
      <c r="A15" s="9" t="s">
        <v>200</v>
      </c>
      <c r="B15" s="26" t="n">
        <v>8.9973405335</v>
      </c>
      <c r="C15" s="26" t="n">
        <v>8.473404357</v>
      </c>
      <c r="D15" s="26" t="n">
        <v>18.9813832065</v>
      </c>
      <c r="E15" s="62" t="n">
        <f aca="false">'Balance Sheet'!D18*'Balance Sheet'!E76</f>
        <v>16.35617040904</v>
      </c>
      <c r="F15" s="62" t="n">
        <f aca="false">'Balance Sheet'!E18*'Balance Sheet'!F76</f>
        <v>54.2673973693551</v>
      </c>
      <c r="G15" s="62" t="n">
        <f aca="false">'Balance Sheet'!F18*'Balance Sheet'!G76</f>
        <v>46.7265805141132</v>
      </c>
      <c r="H15" s="62" t="n">
        <f aca="false">'Balance Sheet'!G18*'Balance Sheet'!H76</f>
        <v>43.86639168313</v>
      </c>
      <c r="I15" s="62" t="n">
        <f aca="false">'Balance Sheet'!H18*'Balance Sheet'!I76</f>
        <v>36.5696800861451</v>
      </c>
      <c r="K15" s="12" t="s">
        <v>201</v>
      </c>
    </row>
    <row r="16" customFormat="false" ht="15" hidden="false" customHeight="true" outlineLevel="0" collapsed="false">
      <c r="A16" s="19" t="s">
        <v>202</v>
      </c>
      <c r="B16" s="35" t="n">
        <f aca="false">B14+B15</f>
        <v>18.760638523</v>
      </c>
      <c r="C16" s="35" t="n">
        <f aca="false">C14+C15</f>
        <v>20.5771279065</v>
      </c>
      <c r="D16" s="35" t="n">
        <f aca="false">D14+D15</f>
        <v>30.6250003675</v>
      </c>
      <c r="E16" s="36" t="n">
        <f aca="false">E14+E15</f>
        <v>93.35617040904</v>
      </c>
      <c r="F16" s="36" t="n">
        <f aca="false">F14+F15</f>
        <v>66.2673973693551</v>
      </c>
      <c r="G16" s="36" t="n">
        <f aca="false">G14+G15</f>
        <v>58.7265805141132</v>
      </c>
      <c r="H16" s="36" t="n">
        <f aca="false">H14+H15</f>
        <v>55.86639168313</v>
      </c>
      <c r="I16" s="36" t="n">
        <f aca="false">I14+I15</f>
        <v>48.5696800861451</v>
      </c>
    </row>
    <row r="17" customFormat="false" ht="15" hidden="false" customHeight="true" outlineLevel="0" collapsed="false">
      <c r="A17" s="9" t="s">
        <v>203</v>
      </c>
      <c r="B17" s="37" t="n">
        <v>7.856383073</v>
      </c>
      <c r="C17" s="37" t="n">
        <v>-4.090425581</v>
      </c>
      <c r="D17" s="37" t="n">
        <v>18.9175534185</v>
      </c>
      <c r="E17" s="38" t="n">
        <v>-5</v>
      </c>
      <c r="F17" s="38" t="n">
        <v>0</v>
      </c>
      <c r="G17" s="38" t="n">
        <v>0</v>
      </c>
      <c r="H17" s="38" t="n">
        <v>0</v>
      </c>
      <c r="I17" s="38" t="n">
        <v>0</v>
      </c>
    </row>
    <row r="18" customFormat="false" ht="15" hidden="false" customHeight="true" outlineLevel="0" collapsed="false">
      <c r="A18" s="9" t="s">
        <v>204</v>
      </c>
      <c r="B18" s="37" t="n">
        <v>-103.893618268</v>
      </c>
      <c r="C18" s="37" t="n">
        <v>-111.54255453</v>
      </c>
      <c r="D18" s="37" t="n">
        <v>-134.7792569365</v>
      </c>
      <c r="E18" s="38" t="n">
        <v>-172</v>
      </c>
      <c r="F18" s="38" t="n">
        <v>-145</v>
      </c>
      <c r="G18" s="38" t="n">
        <v>-150</v>
      </c>
      <c r="H18" s="38" t="n">
        <v>-155</v>
      </c>
      <c r="I18" s="38" t="n">
        <v>-158</v>
      </c>
      <c r="K18" s="12" t="s">
        <v>205</v>
      </c>
    </row>
    <row r="19" customFormat="false" ht="15" hidden="false" customHeight="true" outlineLevel="0" collapsed="false">
      <c r="A19" s="42" t="s">
        <v>206</v>
      </c>
      <c r="B19" s="22" t="n">
        <f aca="false">-B18/B7</f>
        <v>0.0253020257683748</v>
      </c>
      <c r="C19" s="22" t="n">
        <f aca="false">-C18/C7</f>
        <v>0.0258613034984905</v>
      </c>
      <c r="D19" s="22" t="n">
        <f aca="false">-D18/D7</f>
        <v>0.0284898795348701</v>
      </c>
      <c r="E19" s="23" t="n">
        <f aca="false">-E18/E7</f>
        <v>0.0441225215109862</v>
      </c>
      <c r="F19" s="23" t="n">
        <f aca="false">-F18/F7</f>
        <v>0.0269840235970634</v>
      </c>
      <c r="G19" s="23" t="n">
        <f aca="false">-G18/G7</f>
        <v>0.025865413631073</v>
      </c>
      <c r="H19" s="23" t="n">
        <f aca="false">-H18/H7</f>
        <v>0.0263612166977049</v>
      </c>
      <c r="I19" s="23" t="n">
        <f aca="false">-I18/I7</f>
        <v>0.0270520152039174</v>
      </c>
    </row>
    <row r="20" customFormat="false" ht="15" hidden="false" customHeight="true" outlineLevel="0" collapsed="false">
      <c r="A20" s="9" t="s">
        <v>207</v>
      </c>
      <c r="B20" s="37" t="n">
        <v>-148.345746461</v>
      </c>
      <c r="C20" s="37" t="n">
        <v>-163.8856402645</v>
      </c>
      <c r="D20" s="37" t="n">
        <v>-133.4813845805</v>
      </c>
      <c r="E20" s="38" t="n">
        <v>-136</v>
      </c>
      <c r="F20" s="38" t="n">
        <v>-145</v>
      </c>
      <c r="G20" s="38" t="n">
        <v>-152</v>
      </c>
      <c r="H20" s="38" t="n">
        <v>-158</v>
      </c>
      <c r="I20" s="38" t="n">
        <v>-160</v>
      </c>
      <c r="K20" s="12" t="s">
        <v>208</v>
      </c>
    </row>
    <row r="21" customFormat="false" ht="15" hidden="false" customHeight="true" outlineLevel="0" collapsed="false">
      <c r="A21" s="42" t="s">
        <v>206</v>
      </c>
      <c r="B21" s="22" t="n">
        <f aca="false">-B20/B7</f>
        <v>0.0361278003611614</v>
      </c>
      <c r="C21" s="22" t="n">
        <f aca="false">-C20/C7</f>
        <v>0.0379971240553286</v>
      </c>
      <c r="D21" s="22" t="n">
        <f aca="false">-D20/D7</f>
        <v>0.0282155329631903</v>
      </c>
      <c r="E21" s="23" t="n">
        <f aca="false">-E20/E7</f>
        <v>0.0348875751482217</v>
      </c>
      <c r="F21" s="23" t="n">
        <f aca="false">-F20/F7</f>
        <v>0.0269840235970634</v>
      </c>
      <c r="G21" s="23" t="n">
        <f aca="false">-G20/G7</f>
        <v>0.0262102858128206</v>
      </c>
      <c r="H21" s="23" t="n">
        <f aca="false">-H20/H7</f>
        <v>0.0268714337950798</v>
      </c>
      <c r="I21" s="23" t="n">
        <f aca="false">-I20/I7</f>
        <v>0.0273944457761189</v>
      </c>
    </row>
    <row r="22" customFormat="false" ht="15" hidden="false" customHeight="true" outlineLevel="0" collapsed="false">
      <c r="A22" s="9" t="s">
        <v>209</v>
      </c>
      <c r="B22" s="37" t="n">
        <v>-1.11702129</v>
      </c>
      <c r="C22" s="37" t="n">
        <v>-1.11702129</v>
      </c>
      <c r="D22" s="37" t="n">
        <v>-1.11702129</v>
      </c>
      <c r="E22" s="38" t="n">
        <v>-1.1</v>
      </c>
      <c r="F22" s="38" t="n">
        <v>-1.1</v>
      </c>
      <c r="G22" s="38" t="n">
        <v>-1.1</v>
      </c>
      <c r="H22" s="38" t="n">
        <v>-1.1</v>
      </c>
      <c r="I22" s="38" t="n">
        <v>-1.1</v>
      </c>
      <c r="K22" s="12" t="s">
        <v>210</v>
      </c>
    </row>
    <row r="23" customFormat="false" ht="15" hidden="false" customHeight="true" outlineLevel="0" collapsed="false">
      <c r="A23" s="19" t="s">
        <v>211</v>
      </c>
      <c r="B23" s="35" t="n">
        <f aca="false">B18+B20+B22</f>
        <v>-253.356386019</v>
      </c>
      <c r="C23" s="35" t="n">
        <f aca="false">C18+C20+C22</f>
        <v>-276.5452160845</v>
      </c>
      <c r="D23" s="35" t="n">
        <f aca="false">D18+D20+D22</f>
        <v>-269.377662807</v>
      </c>
      <c r="E23" s="36" t="n">
        <f aca="false">E18+E20+E22</f>
        <v>-309.1</v>
      </c>
      <c r="F23" s="36" t="n">
        <f aca="false">F18+F20+F22</f>
        <v>-291.1</v>
      </c>
      <c r="G23" s="36" t="n">
        <f aca="false">G18+G20+G22</f>
        <v>-303.1</v>
      </c>
      <c r="H23" s="36" t="n">
        <f aca="false">H18+H20+H22</f>
        <v>-314.1</v>
      </c>
      <c r="I23" s="36" t="n">
        <f aca="false">I18+I20+I22</f>
        <v>-319.1</v>
      </c>
    </row>
    <row r="24" customFormat="false" ht="15" hidden="false" customHeight="true" outlineLevel="0" collapsed="false">
      <c r="A24" s="63" t="s">
        <v>206</v>
      </c>
      <c r="B24" s="45" t="n">
        <f aca="false">-B23/B7</f>
        <v>0.0617018630643795</v>
      </c>
      <c r="C24" s="45" t="n">
        <f aca="false">-C23/C7</f>
        <v>0.0641174105645336</v>
      </c>
      <c r="D24" s="45" t="n">
        <f aca="false">-D23/D7</f>
        <v>0.0569415304490963</v>
      </c>
      <c r="E24" s="46" t="n">
        <f aca="false">-E23/E7</f>
        <v>0.0792922755758479</v>
      </c>
      <c r="F24" s="46" t="n">
        <f aca="false">-F23/F7</f>
        <v>0.0541727535800356</v>
      </c>
      <c r="G24" s="46" t="n">
        <f aca="false">-G23/G7</f>
        <v>0.0522653791438548</v>
      </c>
      <c r="H24" s="46" t="n">
        <f aca="false">-H23/H7</f>
        <v>0.0534197300951555</v>
      </c>
      <c r="I24" s="46" t="n">
        <f aca="false">-I23/I7</f>
        <v>0.0546347977947471</v>
      </c>
    </row>
    <row r="26" customFormat="false" ht="15" hidden="false" customHeight="true" outlineLevel="0" collapsed="false">
      <c r="A26" s="6" t="s">
        <v>212</v>
      </c>
      <c r="B26" s="7"/>
      <c r="C26" s="7"/>
      <c r="D26" s="7"/>
      <c r="E26" s="7"/>
      <c r="F26" s="7"/>
      <c r="G26" s="7"/>
      <c r="H26" s="7"/>
      <c r="I26" s="7"/>
      <c r="K26" s="7"/>
    </row>
    <row r="27" customFormat="false" ht="15" hidden="false" customHeight="true" outlineLevel="0" collapsed="false">
      <c r="A27" s="19" t="s">
        <v>88</v>
      </c>
      <c r="B27" s="35" t="n">
        <f aca="false">B10+B16+B17+B18+B20+B22-B32</f>
        <v>803.515967089001</v>
      </c>
      <c r="C27" s="35" t="n">
        <f aca="false">C10+C16+C17+C18+C20+C22-C32</f>
        <v>939.14894744</v>
      </c>
      <c r="D27" s="35" t="n">
        <f aca="false">D10+D16+D17+D18+D20+D22-D32</f>
        <v>1078.388310813</v>
      </c>
      <c r="E27" s="36" t="n">
        <f aca="false">E10+E16+E17+E18+E20+E22-E32</f>
        <v>1129.15286739726</v>
      </c>
      <c r="F27" s="36" t="n">
        <f aca="false">F10+F16+F17+F18+F20+F22-F32</f>
        <v>1619.35860584903</v>
      </c>
      <c r="G27" s="36" t="n">
        <f aca="false">G10+G16+G17+G18+G20+G22-G32</f>
        <v>1640.82335790137</v>
      </c>
      <c r="H27" s="36" t="n">
        <f aca="false">H10+H16+H17+H18+H20+H22-H32</f>
        <v>1393.40500914167</v>
      </c>
      <c r="I27" s="36" t="n">
        <f aca="false">I10+I16+I17+I18+I20+I22-I32</f>
        <v>1263.59785120143</v>
      </c>
    </row>
    <row r="28" customFormat="false" ht="15" hidden="false" customHeight="true" outlineLevel="0" collapsed="false">
      <c r="A28" s="16" t="s">
        <v>89</v>
      </c>
      <c r="B28" s="22" t="n">
        <f aca="false">B27/B7</f>
        <v>0.195686530544566</v>
      </c>
      <c r="C28" s="22" t="n">
        <f aca="false">C27/C7</f>
        <v>0.217743049389293</v>
      </c>
      <c r="D28" s="22" t="n">
        <f aca="false">D27/D7</f>
        <v>0.227951643043628</v>
      </c>
      <c r="E28" s="23" t="n">
        <f aca="false">E27/E7</f>
        <v>0.289657393493763</v>
      </c>
      <c r="F28" s="23" t="n">
        <f aca="false">F27/F7</f>
        <v>0.301357316085089</v>
      </c>
      <c r="G28" s="23" t="n">
        <f aca="false">G27/G7</f>
        <v>0.282937165650967</v>
      </c>
      <c r="H28" s="23" t="n">
        <f aca="false">H27/H7</f>
        <v>0.236979686410652</v>
      </c>
      <c r="I28" s="23" t="n">
        <f aca="false">I27/I7</f>
        <v>0.216347267609737</v>
      </c>
    </row>
    <row r="29" customFormat="false" ht="15" hidden="false" customHeight="true" outlineLevel="0" collapsed="false">
      <c r="A29" s="16" t="s">
        <v>213</v>
      </c>
      <c r="B29" s="39" t="n">
        <v>804</v>
      </c>
      <c r="C29" s="39" t="n">
        <v>939</v>
      </c>
      <c r="D29" s="39" t="n">
        <v>1078</v>
      </c>
      <c r="K29" s="12" t="s">
        <v>214</v>
      </c>
    </row>
    <row r="30" customFormat="false" ht="15" hidden="false" customHeight="true" outlineLevel="0" collapsed="false">
      <c r="A30" s="9" t="s">
        <v>215</v>
      </c>
      <c r="B30" s="26" t="n">
        <v>-356.0771319325</v>
      </c>
      <c r="C30" s="26" t="n">
        <v>-366.6728767405</v>
      </c>
      <c r="D30" s="26" t="n">
        <v>-408.3750049005</v>
      </c>
      <c r="E30" s="61" t="n">
        <f aca="false">-'Balance Sheet'!E57</f>
        <v>-421.864915913174</v>
      </c>
      <c r="F30" s="61" t="n">
        <f aca="false">-'Balance Sheet'!F57</f>
        <v>-431.989915913174</v>
      </c>
      <c r="G30" s="61" t="n">
        <f aca="false">-'Balance Sheet'!G57</f>
        <v>-443.734915913174</v>
      </c>
      <c r="H30" s="61" t="n">
        <f aca="false">-'Balance Sheet'!H57</f>
        <v>-456.087415913174</v>
      </c>
      <c r="I30" s="61" t="n">
        <f aca="false">-'Balance Sheet'!I57</f>
        <v>-468.844915913174</v>
      </c>
      <c r="K30" s="12" t="s">
        <v>216</v>
      </c>
    </row>
    <row r="31" customFormat="false" ht="15" hidden="false" customHeight="true" outlineLevel="0" collapsed="false">
      <c r="A31" s="9" t="s">
        <v>217</v>
      </c>
      <c r="B31" s="60" t="n">
        <f aca="false">-'Revenue Model'!B98</f>
        <v>-0</v>
      </c>
      <c r="C31" s="60" t="n">
        <f aca="false">-'Revenue Model'!C98</f>
        <v>-0</v>
      </c>
      <c r="D31" s="60" t="n">
        <f aca="false">-'Revenue Model'!D98</f>
        <v>-0</v>
      </c>
      <c r="E31" s="61" t="n">
        <f aca="false">-'Revenue Model'!E98</f>
        <v>-0</v>
      </c>
      <c r="F31" s="61" t="n">
        <f aca="false">-'Revenue Model'!F98</f>
        <v>-86.6666666666667</v>
      </c>
      <c r="G31" s="61" t="n">
        <f aca="false">-'Revenue Model'!G98</f>
        <v>-86.6666666666667</v>
      </c>
      <c r="H31" s="61" t="n">
        <f aca="false">-'Revenue Model'!H98</f>
        <v>-86.6666666666667</v>
      </c>
      <c r="I31" s="61" t="n">
        <f aca="false">-'Revenue Model'!I98</f>
        <v>-86.6666666666667</v>
      </c>
    </row>
    <row r="32" customFormat="false" ht="15" hidden="false" customHeight="true" outlineLevel="0" collapsed="false">
      <c r="A32" s="19" t="s">
        <v>218</v>
      </c>
      <c r="B32" s="35" t="n">
        <f aca="false">B30+B31</f>
        <v>-356.0771319325</v>
      </c>
      <c r="C32" s="35" t="n">
        <f aca="false">C30+C31</f>
        <v>-366.6728767405</v>
      </c>
      <c r="D32" s="35" t="n">
        <f aca="false">D30+D31</f>
        <v>-408.3750049005</v>
      </c>
      <c r="E32" s="36" t="n">
        <f aca="false">E30+E31</f>
        <v>-421.864915913174</v>
      </c>
      <c r="F32" s="36" t="n">
        <f aca="false">F30+F31</f>
        <v>-518.656582579841</v>
      </c>
      <c r="G32" s="36" t="n">
        <f aca="false">G30+G31</f>
        <v>-530.401582579841</v>
      </c>
      <c r="H32" s="36" t="n">
        <f aca="false">H30+H31</f>
        <v>-542.754082579841</v>
      </c>
      <c r="I32" s="36" t="n">
        <f aca="false">I30+I31</f>
        <v>-555.511582579841</v>
      </c>
    </row>
    <row r="33" customFormat="false" ht="15" hidden="false" customHeight="true" outlineLevel="0" collapsed="false">
      <c r="A33" s="16" t="s">
        <v>219</v>
      </c>
      <c r="B33" s="64" t="n">
        <v>350.3803233535</v>
      </c>
      <c r="C33" s="64" t="n">
        <v>360.3856426225</v>
      </c>
      <c r="D33" s="64" t="n">
        <v>401.978728228</v>
      </c>
      <c r="E33" s="44" t="n">
        <f aca="false">-E30*0.984</f>
        <v>415.115077258563</v>
      </c>
      <c r="F33" s="44" t="n">
        <f aca="false">-F30*0.984</f>
        <v>425.078077258563</v>
      </c>
      <c r="G33" s="44" t="n">
        <f aca="false">-G30*0.984</f>
        <v>436.635157258563</v>
      </c>
      <c r="H33" s="44" t="n">
        <f aca="false">-H30*0.984</f>
        <v>448.790017258563</v>
      </c>
      <c r="I33" s="44" t="n">
        <f aca="false">-I30*0.984</f>
        <v>461.343397258563</v>
      </c>
      <c r="K33" s="12" t="s">
        <v>220</v>
      </c>
    </row>
    <row r="34" customFormat="false" ht="15" hidden="false" customHeight="true" outlineLevel="0" collapsed="false">
      <c r="A34" s="19" t="s">
        <v>221</v>
      </c>
      <c r="B34" s="35" t="n">
        <f aca="false">B27+B32</f>
        <v>447.438835156501</v>
      </c>
      <c r="C34" s="35" t="n">
        <f aca="false">C27+C32</f>
        <v>572.4760706995</v>
      </c>
      <c r="D34" s="35" t="n">
        <f aca="false">D27+D32</f>
        <v>670.0133059125</v>
      </c>
      <c r="E34" s="36" t="n">
        <f aca="false">E27+E32</f>
        <v>707.287951484083</v>
      </c>
      <c r="F34" s="36" t="n">
        <f aca="false">F27+F32</f>
        <v>1100.70202326919</v>
      </c>
      <c r="G34" s="36" t="n">
        <f aca="false">G27+G32</f>
        <v>1110.42177532153</v>
      </c>
      <c r="H34" s="36" t="n">
        <f aca="false">H27+H32</f>
        <v>850.650926561833</v>
      </c>
      <c r="I34" s="36" t="n">
        <f aca="false">I27+I32</f>
        <v>708.086268621588</v>
      </c>
    </row>
    <row r="35" customFormat="false" ht="15" hidden="false" customHeight="true" outlineLevel="0" collapsed="false">
      <c r="A35" s="28" t="s">
        <v>222</v>
      </c>
      <c r="B35" s="45" t="n">
        <f aca="false">B34/B7</f>
        <v>0.108968280493397</v>
      </c>
      <c r="C35" s="45" t="n">
        <f aca="false">C34/C7</f>
        <v>0.132729409617396</v>
      </c>
      <c r="D35" s="45" t="n">
        <f aca="false">D34/D7</f>
        <v>0.141628606701702</v>
      </c>
      <c r="E35" s="46" t="n">
        <f aca="false">E34/E7</f>
        <v>0.181437952638476</v>
      </c>
      <c r="F35" s="46" t="n">
        <f aca="false">F34/F7</f>
        <v>0.204837030132629</v>
      </c>
      <c r="G35" s="46" t="n">
        <f aca="false">G34/G7</f>
        <v>0.191476790157611</v>
      </c>
      <c r="H35" s="46" t="n">
        <f aca="false">H34/H7</f>
        <v>0.144672215543225</v>
      </c>
      <c r="I35" s="46" t="n">
        <f aca="false">I34/I7</f>
        <v>0.121235193066053</v>
      </c>
    </row>
    <row r="37" customFormat="false" ht="15" hidden="false" customHeight="true" outlineLevel="0" collapsed="false">
      <c r="A37" s="6" t="s">
        <v>223</v>
      </c>
      <c r="B37" s="7"/>
      <c r="C37" s="7"/>
      <c r="D37" s="7"/>
      <c r="E37" s="7"/>
      <c r="F37" s="7"/>
      <c r="G37" s="7"/>
      <c r="H37" s="7"/>
      <c r="I37" s="7"/>
      <c r="K37" s="7"/>
    </row>
    <row r="38" customFormat="false" ht="15" hidden="false" customHeight="true" outlineLevel="0" collapsed="false">
      <c r="A38" s="9" t="s">
        <v>224</v>
      </c>
      <c r="B38" s="26" t="n">
        <v>-165.505321135</v>
      </c>
      <c r="C38" s="26" t="n">
        <v>-101.0292565315</v>
      </c>
      <c r="D38" s="26" t="n">
        <v>-90.85106492</v>
      </c>
      <c r="E38" s="27" t="n">
        <v>-78</v>
      </c>
      <c r="F38" s="62" t="n">
        <f aca="false">-('Balance Sheet'!F74*('Balance Sheet'!E63+'Balance Sheet'!E66)+'Balance Sheet'!F75*'Balance Sheet'!E70)</f>
        <v>-184.37260705429</v>
      </c>
      <c r="G38" s="62" t="n">
        <f aca="false">-('Balance Sheet'!G74*('Balance Sheet'!F63+'Balance Sheet'!F66)+'Balance Sheet'!G75*'Balance Sheet'!F70)</f>
        <v>-130.20781979106</v>
      </c>
      <c r="H38" s="62" t="n">
        <f aca="false">-('Balance Sheet'!H74*('Balance Sheet'!G63+'Balance Sheet'!G66)+'Balance Sheet'!H75*'Balance Sheet'!G70)</f>
        <v>-90.25031979106</v>
      </c>
      <c r="I38" s="62" t="n">
        <f aca="false">-('Balance Sheet'!I74*('Balance Sheet'!H63+'Balance Sheet'!H66)+'Balance Sheet'!I75*'Balance Sheet'!H70)</f>
        <v>-54.50031979106</v>
      </c>
      <c r="K38" s="12" t="s">
        <v>225</v>
      </c>
    </row>
    <row r="39" customFormat="false" ht="15" hidden="false" customHeight="true" outlineLevel="0" collapsed="false">
      <c r="A39" s="9" t="s">
        <v>226</v>
      </c>
      <c r="B39" s="37" t="n">
        <v>35.3696812755</v>
      </c>
      <c r="C39" s="37" t="n">
        <v>16.228723599</v>
      </c>
      <c r="D39" s="37" t="n">
        <v>11.138298006</v>
      </c>
      <c r="E39" s="38" t="n">
        <v>5</v>
      </c>
      <c r="F39" s="38" t="n">
        <v>3</v>
      </c>
      <c r="G39" s="38" t="n">
        <v>3</v>
      </c>
      <c r="H39" s="38" t="n">
        <v>3</v>
      </c>
      <c r="I39" s="38" t="n">
        <v>3</v>
      </c>
      <c r="K39" s="12" t="s">
        <v>227</v>
      </c>
    </row>
    <row r="40" customFormat="false" ht="15" hidden="false" customHeight="true" outlineLevel="0" collapsed="false">
      <c r="A40" s="9" t="s">
        <v>228</v>
      </c>
      <c r="B40" s="37" t="n">
        <v>-2.962765993</v>
      </c>
      <c r="C40" s="37" t="n">
        <v>4.2420213275</v>
      </c>
      <c r="D40" s="37" t="n">
        <v>-2.313829815</v>
      </c>
      <c r="E40" s="38" t="n">
        <v>0</v>
      </c>
      <c r="F40" s="38" t="n">
        <v>0</v>
      </c>
      <c r="G40" s="38" t="n">
        <v>0</v>
      </c>
      <c r="H40" s="38" t="n">
        <v>0</v>
      </c>
      <c r="I40" s="38" t="n">
        <v>0</v>
      </c>
    </row>
    <row r="41" customFormat="false" ht="15" hidden="false" customHeight="true" outlineLevel="0" collapsed="false">
      <c r="A41" s="19" t="s">
        <v>229</v>
      </c>
      <c r="B41" s="35" t="n">
        <f aca="false">B34+B38+B39+B40</f>
        <v>314.340429304001</v>
      </c>
      <c r="C41" s="35" t="n">
        <f aca="false">C34+C38+C39+C40</f>
        <v>491.9175590945</v>
      </c>
      <c r="D41" s="35" t="n">
        <f aca="false">D34+D38+D39+D40</f>
        <v>587.9867091835</v>
      </c>
      <c r="E41" s="36" t="n">
        <f aca="false">E34+E38+E39+E40</f>
        <v>634.287951484083</v>
      </c>
      <c r="F41" s="36" t="n">
        <f aca="false">F34+F38+F39+F40</f>
        <v>919.3294162149</v>
      </c>
      <c r="G41" s="36" t="n">
        <f aca="false">G34+G38+G39+G40</f>
        <v>983.213955530467</v>
      </c>
      <c r="H41" s="36" t="n">
        <f aca="false">H34+H38+H39+H40</f>
        <v>763.400606770773</v>
      </c>
      <c r="I41" s="36" t="n">
        <f aca="false">I34+I38+I39+I40</f>
        <v>656.585948830528</v>
      </c>
    </row>
    <row r="42" customFormat="false" ht="15" hidden="false" customHeight="true" outlineLevel="0" collapsed="false">
      <c r="A42" s="13" t="s">
        <v>230</v>
      </c>
      <c r="B42" s="14" t="n">
        <f aca="false">-B43/B41</f>
        <v>0.00141295519155273</v>
      </c>
      <c r="C42" s="14" t="n">
        <f aca="false">-C43/C41</f>
        <v>0.00226534242353793</v>
      </c>
      <c r="D42" s="14" t="n">
        <f aca="false">-D43/D41</f>
        <v>0.0108375587449058</v>
      </c>
      <c r="E42" s="25" t="n">
        <v>0.015</v>
      </c>
      <c r="F42" s="25" t="n">
        <v>0.05</v>
      </c>
      <c r="G42" s="25" t="n">
        <v>0.15</v>
      </c>
      <c r="H42" s="25" t="n">
        <v>0.15</v>
      </c>
      <c r="I42" s="25" t="n">
        <v>0.15</v>
      </c>
      <c r="K42" s="12" t="s">
        <v>231</v>
      </c>
    </row>
    <row r="43" customFormat="false" ht="15" hidden="false" customHeight="true" outlineLevel="0" collapsed="false">
      <c r="A43" s="9" t="s">
        <v>232</v>
      </c>
      <c r="B43" s="26" t="n">
        <v>-0.4441489415</v>
      </c>
      <c r="C43" s="26" t="n">
        <v>-1.1143617155</v>
      </c>
      <c r="D43" s="26" t="n">
        <v>-6.372340502</v>
      </c>
      <c r="E43" s="27" t="n">
        <f aca="false">-E41*E42</f>
        <v>-9.51431927226125</v>
      </c>
      <c r="F43" s="27" t="n">
        <f aca="false">-F41*F42</f>
        <v>-45.966470810745</v>
      </c>
      <c r="G43" s="27" t="n">
        <f aca="false">-G41*G42</f>
        <v>-147.48209332957</v>
      </c>
      <c r="H43" s="27" t="n">
        <f aca="false">-H41*H42</f>
        <v>-114.510091015616</v>
      </c>
      <c r="I43" s="27" t="n">
        <f aca="false">-I41*I42</f>
        <v>-98.4878923245792</v>
      </c>
    </row>
    <row r="44" customFormat="false" ht="15" hidden="false" customHeight="true" outlineLevel="0" collapsed="false">
      <c r="A44" s="19" t="s">
        <v>233</v>
      </c>
      <c r="B44" s="35" t="n">
        <f aca="false">B41+B43</f>
        <v>313.896280362501</v>
      </c>
      <c r="C44" s="35" t="n">
        <f aca="false">C41+C43</f>
        <v>490.803197379</v>
      </c>
      <c r="D44" s="35" t="n">
        <f aca="false">D41+D43</f>
        <v>581.6143686815</v>
      </c>
      <c r="E44" s="36" t="n">
        <f aca="false">E41+E43</f>
        <v>624.773632211822</v>
      </c>
      <c r="F44" s="36" t="n">
        <f aca="false">F41+F43</f>
        <v>873.362945404155</v>
      </c>
      <c r="G44" s="36" t="n">
        <f aca="false">G41+G43</f>
        <v>835.731862200897</v>
      </c>
      <c r="H44" s="36" t="n">
        <f aca="false">H41+H43</f>
        <v>648.890515755157</v>
      </c>
      <c r="I44" s="36" t="n">
        <f aca="false">I41+I43</f>
        <v>558.098056505949</v>
      </c>
    </row>
    <row r="45" customFormat="false" ht="15" hidden="false" customHeight="true" outlineLevel="0" collapsed="false">
      <c r="A45" s="16" t="s">
        <v>234</v>
      </c>
      <c r="B45" s="22" t="n">
        <f aca="false">B44/B7</f>
        <v>0.076445617225897</v>
      </c>
      <c r="C45" s="22" t="n">
        <f aca="false">C44/C7</f>
        <v>0.113793435150654</v>
      </c>
      <c r="D45" s="22" t="n">
        <f aca="false">D44/D7</f>
        <v>0.1229426818052</v>
      </c>
      <c r="E45" s="23" t="n">
        <f aca="false">E44/E7</f>
        <v>0.160270860620716</v>
      </c>
      <c r="F45" s="23" t="n">
        <f aca="false">F44/F7</f>
        <v>0.16252997467301</v>
      </c>
      <c r="G45" s="23" t="n">
        <f aca="false">G44/G7</f>
        <v>0.144110335336621</v>
      </c>
      <c r="H45" s="23" t="n">
        <f aca="false">H44/H7</f>
        <v>0.11035834515424</v>
      </c>
      <c r="I45" s="23" t="n">
        <f aca="false">I44/I7</f>
        <v>0.0955549184169347</v>
      </c>
    </row>
    <row r="46" customFormat="false" ht="15" hidden="false" customHeight="true" outlineLevel="0" collapsed="false">
      <c r="A46" s="13" t="s">
        <v>235</v>
      </c>
      <c r="B46" s="26" t="n">
        <v>0</v>
      </c>
      <c r="C46" s="26" t="n">
        <v>0</v>
      </c>
      <c r="D46" s="26" t="n">
        <v>0.0026595745</v>
      </c>
      <c r="E46" s="27" t="n">
        <f aca="false">'Revenue Model'!E99*'Revenue Model'!$B$112*(1-E42)</f>
        <v>0</v>
      </c>
      <c r="F46" s="27" t="n">
        <f aca="false">'Revenue Model'!F99*'Revenue Model'!$B$112*(1-F42)</f>
        <v>7.1668</v>
      </c>
      <c r="G46" s="27" t="n">
        <f aca="false">'Revenue Model'!G99*'Revenue Model'!$B$112*(1-G42)</f>
        <v>3.85475</v>
      </c>
      <c r="H46" s="27" t="n">
        <f aca="false">'Revenue Model'!H99*'Revenue Model'!$B$112*(1-H42)</f>
        <v>2.1998</v>
      </c>
      <c r="I46" s="27" t="n">
        <f aca="false">'Revenue Model'!I99*'Revenue Model'!$B$112*(1-I42)</f>
        <v>1.372325</v>
      </c>
      <c r="K46" s="12" t="s">
        <v>236</v>
      </c>
    </row>
    <row r="47" customFormat="false" ht="15" hidden="false" customHeight="true" outlineLevel="0" collapsed="false">
      <c r="A47" s="19" t="s">
        <v>237</v>
      </c>
      <c r="B47" s="35" t="n">
        <f aca="false">B44-B46</f>
        <v>313.896280362501</v>
      </c>
      <c r="C47" s="35" t="n">
        <f aca="false">C44-C46</f>
        <v>490.803197379</v>
      </c>
      <c r="D47" s="35" t="n">
        <f aca="false">D44-D46</f>
        <v>581.611709107</v>
      </c>
      <c r="E47" s="36" t="n">
        <f aca="false">E44-E46</f>
        <v>624.773632211822</v>
      </c>
      <c r="F47" s="36" t="n">
        <f aca="false">F44-F46</f>
        <v>866.196145404155</v>
      </c>
      <c r="G47" s="36" t="n">
        <f aca="false">G44-G46</f>
        <v>831.877112200897</v>
      </c>
      <c r="H47" s="36" t="n">
        <f aca="false">H44-H46</f>
        <v>646.690715755157</v>
      </c>
      <c r="I47" s="36" t="n">
        <f aca="false">I44-I46</f>
        <v>556.725731505949</v>
      </c>
    </row>
    <row r="48" customFormat="false" ht="15" hidden="false" customHeight="true" outlineLevel="0" collapsed="false">
      <c r="A48" s="28" t="s">
        <v>238</v>
      </c>
      <c r="B48" s="29" t="n">
        <v>313.8962803625</v>
      </c>
      <c r="C48" s="29" t="n">
        <v>490.803197379</v>
      </c>
      <c r="D48" s="29" t="n">
        <v>581.6143686815</v>
      </c>
      <c r="E48" s="41"/>
      <c r="F48" s="41"/>
      <c r="G48" s="41"/>
      <c r="H48" s="41"/>
      <c r="I48" s="41"/>
      <c r="K48" s="12" t="s">
        <v>239</v>
      </c>
    </row>
    <row r="50" customFormat="false" ht="15" hidden="false" customHeight="true" outlineLevel="0" collapsed="false">
      <c r="A50" s="6" t="s">
        <v>240</v>
      </c>
      <c r="B50" s="7"/>
      <c r="C50" s="7"/>
      <c r="D50" s="7"/>
      <c r="E50" s="7"/>
      <c r="F50" s="7"/>
      <c r="G50" s="7"/>
      <c r="H50" s="7"/>
      <c r="I50" s="7"/>
      <c r="K50" s="7"/>
    </row>
    <row r="51" customFormat="false" ht="15" hidden="false" customHeight="true" outlineLevel="0" collapsed="false">
      <c r="A51" s="9" t="s">
        <v>241</v>
      </c>
      <c r="B51" s="65" t="n">
        <v>1422</v>
      </c>
      <c r="C51" s="65" t="n">
        <v>1415.914</v>
      </c>
      <c r="D51" s="65" t="n">
        <v>1415.499</v>
      </c>
      <c r="E51" s="66" t="n">
        <v>1416.048</v>
      </c>
      <c r="F51" s="66" t="n">
        <v>1416.048</v>
      </c>
      <c r="G51" s="66" t="n">
        <v>1416.048</v>
      </c>
      <c r="H51" s="66" t="n">
        <v>1416.048</v>
      </c>
      <c r="I51" s="66" t="n">
        <v>1416.048</v>
      </c>
      <c r="K51" s="12" t="s">
        <v>242</v>
      </c>
    </row>
    <row r="52" customFormat="false" ht="15" hidden="false" customHeight="true" outlineLevel="0" collapsed="false">
      <c r="A52" s="19" t="s">
        <v>243</v>
      </c>
      <c r="B52" s="67" t="n">
        <f aca="false">B47/B51</f>
        <v>0.220742813194445</v>
      </c>
      <c r="C52" s="67" t="n">
        <f aca="false">C47/C51</f>
        <v>0.346633480125912</v>
      </c>
      <c r="D52" s="67" t="n">
        <f aca="false">D47/D51</f>
        <v>0.410888110204952</v>
      </c>
      <c r="E52" s="68" t="n">
        <f aca="false">E47/E51</f>
        <v>0.441209360284271</v>
      </c>
      <c r="F52" s="68" t="n">
        <f aca="false">F47/F51</f>
        <v>0.611699706086344</v>
      </c>
      <c r="G52" s="68" t="n">
        <f aca="false">G47/G51</f>
        <v>0.587463922268805</v>
      </c>
      <c r="H52" s="68" t="n">
        <f aca="false">H47/H51</f>
        <v>0.456687001962615</v>
      </c>
      <c r="I52" s="68" t="n">
        <f aca="false">I47/I51</f>
        <v>0.393154562208307</v>
      </c>
    </row>
    <row r="53" customFormat="false" ht="15" hidden="false" customHeight="true" outlineLevel="0" collapsed="false">
      <c r="A53" s="19" t="s">
        <v>244</v>
      </c>
      <c r="B53" s="69" t="n">
        <f aca="false">B52/2.659575*1000</f>
        <v>82.999281161255</v>
      </c>
      <c r="C53" s="69" t="n">
        <f aca="false">C52/2.659575*1000</f>
        <v>130.33416246051</v>
      </c>
      <c r="D53" s="69" t="n">
        <f aca="false">D52/2.659575*1000</f>
        <v>154.493898538282</v>
      </c>
      <c r="E53" s="70" t="n">
        <f aca="false">E52/2.659575*1000</f>
        <v>165.894686287949</v>
      </c>
      <c r="F53" s="70" t="n">
        <f aca="false">F52/2.659575*1000</f>
        <v>229.999043488657</v>
      </c>
      <c r="G53" s="70" t="n">
        <f aca="false">G52/2.659575*1000</f>
        <v>220.886390595793</v>
      </c>
      <c r="H53" s="70" t="n">
        <f aca="false">H52/2.659575*1000</f>
        <v>171.714278395088</v>
      </c>
      <c r="I53" s="70" t="n">
        <f aca="false">I52/2.659575*1000</f>
        <v>147.826085825106</v>
      </c>
      <c r="K53" s="12" t="s">
        <v>245</v>
      </c>
    </row>
    <row r="54" customFormat="false" ht="15" hidden="false" customHeight="true" outlineLevel="0" collapsed="false">
      <c r="A54" s="9" t="s">
        <v>246</v>
      </c>
      <c r="B54" s="60" t="n">
        <f aca="false">-'Cash Flow Statement'!B42</f>
        <v>372.739366175</v>
      </c>
      <c r="C54" s="60" t="n">
        <f aca="false">-'Cash Flow Statement'!C42</f>
        <v>129.8696824095</v>
      </c>
      <c r="D54" s="60" t="n">
        <f aca="false">-'Cash Flow Statement'!D42</f>
        <v>139.792554869</v>
      </c>
      <c r="E54" s="61" t="n">
        <f aca="false">-'Cash Flow Statement'!E42</f>
        <v>230</v>
      </c>
      <c r="F54" s="61" t="n">
        <f aca="false">-'Cash Flow Statement'!F42</f>
        <v>218.670771274138</v>
      </c>
      <c r="G54" s="61" t="n">
        <f aca="false">-'Cash Flow Statement'!G42</f>
        <v>303.168650891454</v>
      </c>
      <c r="H54" s="61" t="n">
        <f aca="false">-'Cash Flow Statement'!H42</f>
        <v>291.156989270314</v>
      </c>
      <c r="I54" s="61" t="n">
        <f aca="false">-'Cash Flow Statement'!I42</f>
        <v>226.341750514305</v>
      </c>
    </row>
    <row r="55" customFormat="false" ht="15" hidden="false" customHeight="true" outlineLevel="0" collapsed="false">
      <c r="A55" s="9" t="s">
        <v>247</v>
      </c>
      <c r="B55" s="71" t="n">
        <f aca="false">B54/B51/2.659575*1000</f>
        <v>98.5583499661078</v>
      </c>
      <c r="C55" s="71" t="n">
        <f aca="false">C54/C51/2.659575*1000</f>
        <v>34.4872575733935</v>
      </c>
      <c r="D55" s="71" t="n">
        <f aca="false">D54/D51/2.659575*1000</f>
        <v>37.1331877439306</v>
      </c>
      <c r="E55" s="72" t="n">
        <f aca="false">E54/E51/2.659575*1000</f>
        <v>61.0713638972715</v>
      </c>
      <c r="F55" s="72" t="n">
        <f aca="false">F54/F51/2.659575*1000</f>
        <v>58.0631402007821</v>
      </c>
      <c r="G55" s="72" t="n">
        <f aca="false">G54/G51/2.659575*1000</f>
        <v>80.4996652210298</v>
      </c>
      <c r="H55" s="72" t="n">
        <f aca="false">H54/H51/2.659575*1000</f>
        <v>77.3102367085274</v>
      </c>
      <c r="I55" s="72" t="n">
        <f aca="false">I54/I51/2.659575*1000</f>
        <v>60.0999974382806</v>
      </c>
      <c r="K55" s="12" t="s">
        <v>248</v>
      </c>
    </row>
    <row r="56" customFormat="false" ht="15" hidden="false" customHeight="true" outlineLevel="0" collapsed="false">
      <c r="A56" s="28" t="s">
        <v>249</v>
      </c>
      <c r="B56" s="41"/>
      <c r="C56" s="45" t="n">
        <f aca="false">C54/B47</f>
        <v>0.413734378309679</v>
      </c>
      <c r="D56" s="45" t="n">
        <f aca="false">D54/C47</f>
        <v>0.284824050893563</v>
      </c>
      <c r="E56" s="46" t="n">
        <f aca="false">E54/D47</f>
        <v>0.39545283631435</v>
      </c>
      <c r="F56" s="46" t="n">
        <f aca="false">F54/E47</f>
        <v>0.35</v>
      </c>
      <c r="G56" s="46" t="n">
        <f aca="false">G54/F47</f>
        <v>0.35</v>
      </c>
      <c r="H56" s="46" t="n">
        <f aca="false">H54/G47</f>
        <v>0.35</v>
      </c>
      <c r="I56" s="46" t="n">
        <f aca="false">I54/H47</f>
        <v>0.35</v>
      </c>
      <c r="K56" s="12" t="s">
        <v>250</v>
      </c>
    </row>
    <row r="58" customFormat="false" ht="15" hidden="false" customHeight="true" outlineLevel="0" collapsed="false">
      <c r="A58" s="6" t="s">
        <v>251</v>
      </c>
      <c r="B58" s="7"/>
      <c r="C58" s="7"/>
      <c r="D58" s="7"/>
      <c r="E58" s="7"/>
      <c r="F58" s="7"/>
      <c r="G58" s="7"/>
      <c r="H58" s="7"/>
      <c r="I58" s="7"/>
      <c r="K58" s="7"/>
    </row>
    <row r="59" customFormat="false" ht="15" hidden="false" customHeight="true" outlineLevel="0" collapsed="false">
      <c r="A59" s="9" t="s">
        <v>252</v>
      </c>
      <c r="B59" s="60" t="n">
        <f aca="false">'Revenue Model'!B10</f>
        <v>1620.665</v>
      </c>
      <c r="C59" s="60" t="n">
        <f aca="false">'Revenue Model'!C10</f>
        <v>1622.261</v>
      </c>
      <c r="D59" s="60" t="n">
        <f aca="false">'Revenue Model'!D10</f>
        <v>1623.139</v>
      </c>
      <c r="E59" s="61" t="n">
        <f aca="false">'Revenue Model'!E10</f>
        <v>910.203</v>
      </c>
      <c r="F59" s="61" t="n">
        <f aca="false">'Revenue Model'!F10</f>
        <v>1300</v>
      </c>
      <c r="G59" s="61" t="n">
        <f aca="false">'Revenue Model'!G10</f>
        <v>1510</v>
      </c>
      <c r="H59" s="61" t="n">
        <f aca="false">'Revenue Model'!H10</f>
        <v>1600</v>
      </c>
      <c r="I59" s="61" t="n">
        <f aca="false">'Revenue Model'!I10</f>
        <v>1620</v>
      </c>
    </row>
    <row r="60" customFormat="false" ht="15" hidden="false" customHeight="true" outlineLevel="0" collapsed="false">
      <c r="A60" s="9" t="s">
        <v>253</v>
      </c>
      <c r="B60" s="60" t="n">
        <f aca="false">'Revenue Model'!B12+'Revenue Model'!B91</f>
        <v>1603.011</v>
      </c>
      <c r="C60" s="60" t="n">
        <f aca="false">'Revenue Model'!C12+'Revenue Model'!C91</f>
        <v>1612</v>
      </c>
      <c r="D60" s="60" t="n">
        <f aca="false">'Revenue Model'!D12+'Revenue Model'!D91</f>
        <v>1613.36</v>
      </c>
      <c r="E60" s="61" t="n">
        <f aca="false">'Revenue Model'!E12+'Revenue Model'!E91</f>
        <v>1043.362</v>
      </c>
      <c r="F60" s="61" t="n">
        <f aca="false">'Revenue Model'!F12+'Revenue Model'!F91</f>
        <v>1585</v>
      </c>
      <c r="G60" s="61" t="n">
        <f aca="false">'Revenue Model'!G12+'Revenue Model'!G91</f>
        <v>1800</v>
      </c>
      <c r="H60" s="61" t="n">
        <f aca="false">'Revenue Model'!H12+'Revenue Model'!H91</f>
        <v>1890</v>
      </c>
      <c r="I60" s="61" t="n">
        <f aca="false">'Revenue Model'!I12+'Revenue Model'!I91</f>
        <v>1910</v>
      </c>
    </row>
    <row r="61" customFormat="false" ht="15" hidden="false" customHeight="true" outlineLevel="0" collapsed="false">
      <c r="A61" s="9" t="s">
        <v>254</v>
      </c>
      <c r="B61" s="73" t="n">
        <f aca="false">'Revenue Model'!B23</f>
        <v>2551.87823344662</v>
      </c>
      <c r="C61" s="73" t="n">
        <f aca="false">'Revenue Model'!C23</f>
        <v>2649.99541219169</v>
      </c>
      <c r="D61" s="73" t="n">
        <f aca="false">'Revenue Model'!D23</f>
        <v>2930.21689987418</v>
      </c>
      <c r="E61" s="74" t="n">
        <f aca="false">'Revenue Model'!E23</f>
        <v>3580</v>
      </c>
      <c r="F61" s="74" t="n">
        <f aca="false">'Revenue Model'!F23</f>
        <v>3310</v>
      </c>
      <c r="G61" s="74" t="n">
        <f aca="false">'Revenue Model'!G23</f>
        <v>3150</v>
      </c>
      <c r="H61" s="74" t="n">
        <f aca="false">'Revenue Model'!H23</f>
        <v>3040</v>
      </c>
      <c r="I61" s="74" t="n">
        <f aca="false">'Revenue Model'!I23</f>
        <v>2985</v>
      </c>
    </row>
    <row r="62" customFormat="false" ht="15" hidden="false" customHeight="true" outlineLevel="0" collapsed="false">
      <c r="A62" s="9" t="s">
        <v>255</v>
      </c>
      <c r="B62" s="73" t="n">
        <f aca="false">'Revenue Model'!B136</f>
        <v>1924.75069594879</v>
      </c>
      <c r="C62" s="73" t="n">
        <f aca="false">'Revenue Model'!C136</f>
        <v>1937.01345601201</v>
      </c>
      <c r="D62" s="73" t="n">
        <f aca="false">'Revenue Model'!D136</f>
        <v>2133.04614533552</v>
      </c>
      <c r="E62" s="74" t="n">
        <f aca="false">'Revenue Model'!E136</f>
        <v>2390.69417212424</v>
      </c>
      <c r="F62" s="74" t="n">
        <f aca="false">'Revenue Model'!F136</f>
        <v>2114.95384615385</v>
      </c>
      <c r="G62" s="74" t="n">
        <f aca="false">'Revenue Model'!G136</f>
        <v>2067.34139072848</v>
      </c>
      <c r="H62" s="74" t="n">
        <f aca="false">'Revenue Model'!H136</f>
        <v>2147.75</v>
      </c>
      <c r="I62" s="74" t="n">
        <f aca="false">'Revenue Model'!I136</f>
        <v>2169.75061728395</v>
      </c>
    </row>
    <row r="63" customFormat="false" ht="15" hidden="false" customHeight="true" outlineLevel="0" collapsed="false">
      <c r="A63" s="19" t="s">
        <v>256</v>
      </c>
      <c r="B63" s="31" t="n">
        <f aca="false">B27/B60*1000</f>
        <v>501.254181717406</v>
      </c>
      <c r="C63" s="31" t="n">
        <f aca="false">C27/C60*1000</f>
        <v>582.598602630273</v>
      </c>
      <c r="D63" s="31" t="n">
        <f aca="false">D27/D60*1000</f>
        <v>668.41145857899</v>
      </c>
      <c r="E63" s="32" t="n">
        <f aca="false">E27/E60*1000</f>
        <v>1082.22540920338</v>
      </c>
      <c r="F63" s="32" t="n">
        <f aca="false">F27/F60*1000</f>
        <v>1021.67735384797</v>
      </c>
      <c r="G63" s="32" t="n">
        <f aca="false">G27/G60*1000</f>
        <v>911.568532167427</v>
      </c>
      <c r="H63" s="32" t="n">
        <f aca="false">H27/H60*1000</f>
        <v>737.251327588187</v>
      </c>
      <c r="I63" s="32" t="n">
        <f aca="false">I27/I60*1000</f>
        <v>661.569555602842</v>
      </c>
    </row>
    <row r="64" customFormat="false" ht="15" hidden="false" customHeight="true" outlineLevel="0" collapsed="false">
      <c r="A64" s="9" t="s">
        <v>257</v>
      </c>
      <c r="C64" s="75" t="n">
        <f aca="false">C47/AVERAGE('Balance Sheet'!B29,'Balance Sheet'!C29)</f>
        <v>0.0993985467415605</v>
      </c>
      <c r="D64" s="75" t="n">
        <f aca="false">D47/AVERAGE('Balance Sheet'!C29,'Balance Sheet'!D29)</f>
        <v>0.109109015715797</v>
      </c>
      <c r="E64" s="76" t="n">
        <f aca="false">E47/AVERAGE('Balance Sheet'!D29,'Balance Sheet'!E29)</f>
        <v>0.108814600153785</v>
      </c>
      <c r="F64" s="76" t="n">
        <f aca="false">F47/AVERAGE('Balance Sheet'!E29,'Balance Sheet'!F29)</f>
        <v>0.138308487610048</v>
      </c>
      <c r="G64" s="76" t="n">
        <f aca="false">G47/AVERAGE('Balance Sheet'!F29,'Balance Sheet'!G29)</f>
        <v>0.121425949000611</v>
      </c>
      <c r="H64" s="76" t="n">
        <f aca="false">H47/AVERAGE('Balance Sheet'!G29,'Balance Sheet'!H29)</f>
        <v>0.0886725336905117</v>
      </c>
      <c r="I64" s="76" t="n">
        <f aca="false">I47/AVERAGE('Balance Sheet'!H29,'Balance Sheet'!I29)</f>
        <v>0.0729082171999259</v>
      </c>
    </row>
    <row r="65" customFormat="false" ht="15" hidden="false" customHeight="true" outlineLevel="0" collapsed="false">
      <c r="A65" s="9" t="s">
        <v>258</v>
      </c>
      <c r="C65" s="75" t="n">
        <f aca="false">C34*(1-C42)/AVERAGE('Balance Sheet'!B90,'Balance Sheet'!C90)</f>
        <v>0.0922874353289058</v>
      </c>
      <c r="D65" s="75" t="n">
        <f aca="false">D34*(1-D42)/AVERAGE('Balance Sheet'!C90,'Balance Sheet'!D90)</f>
        <v>0.107493887240414</v>
      </c>
      <c r="E65" s="76" t="n">
        <f aca="false">E34*(1-E42)/AVERAGE('Balance Sheet'!D90,'Balance Sheet'!E90)</f>
        <v>0.100035972057605</v>
      </c>
      <c r="F65" s="76" t="n">
        <f aca="false">F34*(1-F42)/AVERAGE('Balance Sheet'!E90,'Balance Sheet'!F90)</f>
        <v>0.133599390889624</v>
      </c>
      <c r="G65" s="76" t="n">
        <f aca="false">G34*(1-G42)/AVERAGE('Balance Sheet'!F90,'Balance Sheet'!G90)</f>
        <v>0.120805783878527</v>
      </c>
      <c r="H65" s="76" t="n">
        <f aca="false">H34*(1-H42)/AVERAGE('Balance Sheet'!G90,'Balance Sheet'!H90)</f>
        <v>0.0934765069408297</v>
      </c>
      <c r="I65" s="76" t="n">
        <f aca="false">I34*(1-I42)/AVERAGE('Balance Sheet'!H90,'Balance Sheet'!I90)</f>
        <v>0.0792212163209069</v>
      </c>
    </row>
    <row r="66" customFormat="false" ht="15" hidden="false" customHeight="true" outlineLevel="0" collapsed="false">
      <c r="A66" s="77" t="s">
        <v>259</v>
      </c>
      <c r="B66" s="14" t="n">
        <f aca="false">(I7/D7)^(1/5)-1</f>
        <v>0.0430497032677972</v>
      </c>
    </row>
    <row r="67" customFormat="false" ht="15" hidden="false" customHeight="true" outlineLevel="0" collapsed="false">
      <c r="A67" s="77" t="s">
        <v>260</v>
      </c>
      <c r="B67" s="14" t="n">
        <f aca="false">(I27/D27)^(1/5)-1</f>
        <v>0.0322068608512811</v>
      </c>
    </row>
    <row r="69" customFormat="false" ht="25.5" hidden="false" customHeight="true" outlineLevel="0" collapsed="false">
      <c r="A69" s="3" t="s">
        <v>261</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Aluminium Bahrain B.S.C. (Alba)  |  BHB: ALBH  |  Financial model, 28 August 2026&amp;R&amp;8 Al Ramz Investment Research  |  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E79"/>
    <pageSetUpPr fitToPage="true"/>
  </sheetPr>
  <dimension ref="A1:K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78"/>
  </cols>
  <sheetData>
    <row r="1" customFormat="false" ht="15.75" hidden="false" customHeight="true" outlineLevel="0" collapsed="false">
      <c r="A1" s="2" t="s">
        <v>262</v>
      </c>
    </row>
    <row r="2" customFormat="false" ht="15" hidden="false" customHeight="true" outlineLevel="0" collapsed="false">
      <c r="A2" s="3" t="s">
        <v>263</v>
      </c>
    </row>
    <row r="4" customFormat="false" ht="15" hidden="false" customHeight="true" outlineLevel="0" collapsed="false">
      <c r="B4" s="4" t="s">
        <v>2</v>
      </c>
      <c r="C4" s="4" t="s">
        <v>3</v>
      </c>
      <c r="D4" s="4" t="s">
        <v>4</v>
      </c>
      <c r="E4" s="4" t="s">
        <v>5</v>
      </c>
      <c r="F4" s="4" t="s">
        <v>6</v>
      </c>
      <c r="G4" s="4" t="s">
        <v>7</v>
      </c>
      <c r="H4" s="4" t="s">
        <v>8</v>
      </c>
      <c r="I4" s="4" t="s">
        <v>9</v>
      </c>
      <c r="K4" s="5" t="s">
        <v>10</v>
      </c>
    </row>
    <row r="6" customFormat="false" ht="15" hidden="false" customHeight="true" outlineLevel="0" collapsed="false">
      <c r="A6" s="6" t="s">
        <v>264</v>
      </c>
      <c r="B6" s="7"/>
      <c r="C6" s="7"/>
      <c r="D6" s="7"/>
      <c r="E6" s="7"/>
      <c r="F6" s="7"/>
      <c r="G6" s="7"/>
      <c r="H6" s="7"/>
      <c r="I6" s="7"/>
      <c r="K6" s="7"/>
    </row>
    <row r="7" customFormat="false" ht="15" hidden="false" customHeight="true" outlineLevel="0" collapsed="false">
      <c r="A7" s="9" t="s">
        <v>265</v>
      </c>
      <c r="B7" s="60" t="n">
        <f aca="false">'Income Statement'!B41</f>
        <v>314.340429304001</v>
      </c>
      <c r="C7" s="60" t="n">
        <f aca="false">'Income Statement'!C41</f>
        <v>491.9175590945</v>
      </c>
      <c r="D7" s="60" t="n">
        <f aca="false">'Income Statement'!D41</f>
        <v>587.9867091835</v>
      </c>
      <c r="E7" s="61" t="n">
        <f aca="false">'Income Statement'!E41</f>
        <v>634.287951484083</v>
      </c>
      <c r="F7" s="61" t="n">
        <f aca="false">'Income Statement'!F41</f>
        <v>919.3294162149</v>
      </c>
      <c r="G7" s="61" t="n">
        <f aca="false">'Income Statement'!G41</f>
        <v>983.213955530467</v>
      </c>
      <c r="H7" s="61" t="n">
        <f aca="false">'Income Statement'!H41</f>
        <v>763.400606770773</v>
      </c>
      <c r="I7" s="61" t="n">
        <f aca="false">'Income Statement'!I41</f>
        <v>656.585948830528</v>
      </c>
    </row>
    <row r="8" customFormat="false" ht="15" hidden="false" customHeight="true" outlineLevel="0" collapsed="false">
      <c r="A8" s="13" t="s">
        <v>266</v>
      </c>
      <c r="B8" s="60" t="n">
        <f aca="false">-'Income Statement'!B32</f>
        <v>356.0771319325</v>
      </c>
      <c r="C8" s="60" t="n">
        <f aca="false">-'Income Statement'!C32</f>
        <v>366.6728767405</v>
      </c>
      <c r="D8" s="60" t="n">
        <f aca="false">-'Income Statement'!D32</f>
        <v>408.3750049005</v>
      </c>
      <c r="E8" s="61" t="n">
        <f aca="false">-'Income Statement'!E32</f>
        <v>421.864915913174</v>
      </c>
      <c r="F8" s="61" t="n">
        <f aca="false">-'Income Statement'!F32</f>
        <v>518.656582579841</v>
      </c>
      <c r="G8" s="61" t="n">
        <f aca="false">-'Income Statement'!G32</f>
        <v>530.401582579841</v>
      </c>
      <c r="H8" s="61" t="n">
        <f aca="false">-'Income Statement'!H32</f>
        <v>542.754082579841</v>
      </c>
      <c r="I8" s="61" t="n">
        <f aca="false">-'Income Statement'!I32</f>
        <v>555.511582579841</v>
      </c>
    </row>
    <row r="9" customFormat="false" ht="15" hidden="false" customHeight="true" outlineLevel="0" collapsed="false">
      <c r="A9" s="13" t="s">
        <v>224</v>
      </c>
      <c r="B9" s="60" t="n">
        <f aca="false">-'Income Statement'!B38</f>
        <v>165.505321135</v>
      </c>
      <c r="C9" s="60" t="n">
        <f aca="false">-'Income Statement'!C38</f>
        <v>101.0292565315</v>
      </c>
      <c r="D9" s="60" t="n">
        <f aca="false">-'Income Statement'!D38</f>
        <v>90.85106492</v>
      </c>
      <c r="E9" s="61" t="n">
        <f aca="false">-'Income Statement'!E38</f>
        <v>78</v>
      </c>
      <c r="F9" s="61" t="n">
        <f aca="false">-'Income Statement'!F38</f>
        <v>184.37260705429</v>
      </c>
      <c r="G9" s="61" t="n">
        <f aca="false">-'Income Statement'!G38</f>
        <v>130.20781979106</v>
      </c>
      <c r="H9" s="61" t="n">
        <f aca="false">-'Income Statement'!H38</f>
        <v>90.25031979106</v>
      </c>
      <c r="I9" s="61" t="n">
        <f aca="false">-'Income Statement'!I38</f>
        <v>54.50031979106</v>
      </c>
    </row>
    <row r="10" customFormat="false" ht="15" hidden="false" customHeight="true" outlineLevel="0" collapsed="false">
      <c r="A10" s="13" t="s">
        <v>200</v>
      </c>
      <c r="B10" s="60" t="n">
        <f aca="false">-'Income Statement'!B15</f>
        <v>-8.9973405335</v>
      </c>
      <c r="C10" s="60" t="n">
        <f aca="false">-'Income Statement'!C15</f>
        <v>-8.473404357</v>
      </c>
      <c r="D10" s="60" t="n">
        <f aca="false">-'Income Statement'!D15</f>
        <v>-18.9813832065</v>
      </c>
      <c r="E10" s="61" t="n">
        <f aca="false">-'Income Statement'!E15</f>
        <v>-16.35617040904</v>
      </c>
      <c r="F10" s="61" t="n">
        <f aca="false">-'Income Statement'!F15</f>
        <v>-54.2673973693551</v>
      </c>
      <c r="G10" s="61" t="n">
        <f aca="false">-'Income Statement'!G15</f>
        <v>-46.7265805141132</v>
      </c>
      <c r="H10" s="61" t="n">
        <f aca="false">-'Income Statement'!H15</f>
        <v>-43.86639168313</v>
      </c>
      <c r="I10" s="61" t="n">
        <f aca="false">-'Income Statement'!I15</f>
        <v>-36.5696800861451</v>
      </c>
    </row>
    <row r="11" customFormat="false" ht="15" hidden="false" customHeight="true" outlineLevel="0" collapsed="false">
      <c r="A11" s="13" t="s">
        <v>267</v>
      </c>
      <c r="B11" s="26" t="n">
        <v>-35.3696812755</v>
      </c>
      <c r="C11" s="26" t="n">
        <v>-16.228723599</v>
      </c>
      <c r="D11" s="26" t="n">
        <v>-11.138298006</v>
      </c>
      <c r="E11" s="27" t="n">
        <v>0</v>
      </c>
      <c r="F11" s="27" t="n">
        <v>0</v>
      </c>
      <c r="G11" s="27" t="n">
        <v>0</v>
      </c>
      <c r="H11" s="27" t="n">
        <v>0</v>
      </c>
      <c r="I11" s="27" t="n">
        <v>0</v>
      </c>
    </row>
    <row r="12" customFormat="false" ht="15" hidden="false" customHeight="true" outlineLevel="0" collapsed="false">
      <c r="A12" s="13" t="s">
        <v>268</v>
      </c>
      <c r="B12" s="26" t="n">
        <v>16.6888299875</v>
      </c>
      <c r="C12" s="26" t="n">
        <v>13.9654256995</v>
      </c>
      <c r="D12" s="26" t="n">
        <v>42.542553702</v>
      </c>
      <c r="E12" s="27" t="n">
        <v>0</v>
      </c>
      <c r="F12" s="27" t="n">
        <v>0</v>
      </c>
      <c r="G12" s="27" t="n">
        <v>0</v>
      </c>
      <c r="H12" s="27" t="n">
        <v>0</v>
      </c>
      <c r="I12" s="27" t="n">
        <v>0</v>
      </c>
      <c r="K12" s="12" t="s">
        <v>269</v>
      </c>
    </row>
    <row r="13" customFormat="false" ht="15" hidden="false" customHeight="true" outlineLevel="0" collapsed="false">
      <c r="A13" s="13" t="s">
        <v>270</v>
      </c>
      <c r="B13" s="26" t="n">
        <v>5.7739362395</v>
      </c>
      <c r="C13" s="26" t="n">
        <v>1.4122340595</v>
      </c>
      <c r="D13" s="26" t="n">
        <v>-1.27659576</v>
      </c>
      <c r="E13" s="27" t="n">
        <v>0</v>
      </c>
      <c r="F13" s="27" t="n">
        <v>0</v>
      </c>
      <c r="G13" s="27" t="n">
        <v>0</v>
      </c>
      <c r="H13" s="27" t="n">
        <v>0</v>
      </c>
      <c r="I13" s="27" t="n">
        <v>0</v>
      </c>
    </row>
    <row r="14" customFormat="false" ht="15" hidden="false" customHeight="true" outlineLevel="0" collapsed="false">
      <c r="A14" s="19" t="s">
        <v>271</v>
      </c>
      <c r="B14" s="35" t="n">
        <f aca="false">SUM(B7:B13)</f>
        <v>814.018626789501</v>
      </c>
      <c r="C14" s="35" t="n">
        <f aca="false">SUM(C7:C13)</f>
        <v>950.2952241695</v>
      </c>
      <c r="D14" s="35" t="n">
        <f aca="false">SUM(D7:D13)</f>
        <v>1098.3590557335</v>
      </c>
      <c r="E14" s="36" t="n">
        <f aca="false">SUM(E7:E13)</f>
        <v>1117.79669698822</v>
      </c>
      <c r="F14" s="36" t="n">
        <f aca="false">SUM(F7:F13)</f>
        <v>1568.09120847968</v>
      </c>
      <c r="G14" s="36" t="n">
        <f aca="false">SUM(G7:G13)</f>
        <v>1597.09677738725</v>
      </c>
      <c r="H14" s="36" t="n">
        <f aca="false">SUM(H7:H13)</f>
        <v>1352.53861745854</v>
      </c>
      <c r="I14" s="36" t="n">
        <f aca="false">SUM(I7:I13)</f>
        <v>1230.02817111528</v>
      </c>
    </row>
    <row r="15" customFormat="false" ht="15" hidden="false" customHeight="true" outlineLevel="0" collapsed="false">
      <c r="A15" s="19" t="s">
        <v>272</v>
      </c>
    </row>
    <row r="16" customFormat="false" ht="15" hidden="false" customHeight="true" outlineLevel="0" collapsed="false">
      <c r="A16" s="13" t="s">
        <v>273</v>
      </c>
      <c r="B16" s="26" t="n">
        <v>23.7952130515</v>
      </c>
      <c r="C16" s="26" t="n">
        <v>-150.6037252115</v>
      </c>
      <c r="D16" s="26" t="n">
        <v>48.1994686635</v>
      </c>
      <c r="E16" s="27" t="n">
        <f aca="false">'Balance Sheet'!D15-'Balance Sheet'!E15+IF('Revenue Model'!E89=1,'Revenue Model'!$B$105,0)</f>
        <v>213.007649827261</v>
      </c>
      <c r="F16" s="27" t="n">
        <f aca="false">'Balance Sheet'!E15-'Balance Sheet'!F15+IF('Revenue Model'!F89=1,'Revenue Model'!$B$105,0)</f>
        <v>-131.249099567807</v>
      </c>
      <c r="G16" s="27" t="n">
        <f aca="false">'Balance Sheet'!F15-'Balance Sheet'!G15+IF('Revenue Model'!G89=1,'Revenue Model'!$B$105,0)</f>
        <v>-109.020843550416</v>
      </c>
      <c r="H16" s="27" t="n">
        <f aca="false">'Balance Sheet'!G15-'Balance Sheet'!H15+IF('Revenue Model'!H89=1,'Revenue Model'!$B$105,0)</f>
        <v>-89.7904314803955</v>
      </c>
      <c r="I16" s="27" t="n">
        <f aca="false">'Balance Sheet'!H15-'Balance Sheet'!I15+IF('Revenue Model'!I89=1,'Revenue Model'!$B$105,0)</f>
        <v>-25.0299352443963</v>
      </c>
    </row>
    <row r="17" customFormat="false" ht="15" hidden="false" customHeight="true" outlineLevel="0" collapsed="false">
      <c r="A17" s="13" t="s">
        <v>274</v>
      </c>
      <c r="B17" s="26" t="n">
        <v>23.08510666</v>
      </c>
      <c r="C17" s="26" t="n">
        <v>-119.6675546275</v>
      </c>
      <c r="D17" s="26" t="n">
        <v>20.255319392</v>
      </c>
      <c r="E17" s="27" t="n">
        <f aca="false">'Balance Sheet'!D16-'Balance Sheet'!E16+IF('Revenue Model'!E89=1,'Revenue Model'!$B$106,0)</f>
        <v>125.981299121</v>
      </c>
      <c r="F17" s="27" t="n">
        <f aca="false">'Balance Sheet'!E16-'Balance Sheet'!F16+IF('Revenue Model'!F89=1,'Revenue Model'!$B$106,0)</f>
        <v>-68.3464779199999</v>
      </c>
      <c r="G17" s="27" t="n">
        <f aca="false">'Balance Sheet'!F16-'Balance Sheet'!G16+IF('Revenue Model'!G89=1,'Revenue Model'!$B$106,0)</f>
        <v>-63.0036000000001</v>
      </c>
      <c r="H17" s="27" t="n">
        <f aca="false">'Balance Sheet'!G16-'Balance Sheet'!H16+IF('Revenue Model'!H89=1,'Revenue Model'!$B$106,0)</f>
        <v>-11.9288</v>
      </c>
      <c r="I17" s="27" t="n">
        <f aca="false">'Balance Sheet'!H16-'Balance Sheet'!I16+IF('Revenue Model'!I89=1,'Revenue Model'!$B$106,0)</f>
        <v>5.80900000000008</v>
      </c>
    </row>
    <row r="18" customFormat="false" ht="15" hidden="false" customHeight="true" outlineLevel="0" collapsed="false">
      <c r="A18" s="13" t="s">
        <v>275</v>
      </c>
      <c r="B18" s="26" t="n">
        <v>18.675532139</v>
      </c>
      <c r="C18" s="26" t="n">
        <v>115.2420226595</v>
      </c>
      <c r="D18" s="26" t="n">
        <v>-130.760639867</v>
      </c>
      <c r="E18" s="27" t="n">
        <f aca="false">'Balance Sheet'!E42-'Balance Sheet'!D42+IF('Revenue Model'!E89=1,'Revenue Model'!$B$107,0)</f>
        <v>-45.8468230653803</v>
      </c>
      <c r="F18" s="27" t="n">
        <f aca="false">'Balance Sheet'!F42-'Balance Sheet'!E42+IF('Revenue Model'!F89=1,'Revenue Model'!$B$107,0)</f>
        <v>4.72639939690083</v>
      </c>
      <c r="G18" s="27" t="n">
        <f aca="false">'Balance Sheet'!G42-'Balance Sheet'!F42+IF('Revenue Model'!G89=1,'Revenue Model'!$B$107,0)</f>
        <v>49.5549288865528</v>
      </c>
      <c r="H18" s="27" t="n">
        <f aca="false">'Balance Sheet'!H42-'Balance Sheet'!G42+IF('Revenue Model'!H89=1,'Revenue Model'!$B$107,0)</f>
        <v>40.8138324910889</v>
      </c>
      <c r="I18" s="27" t="n">
        <f aca="false">'Balance Sheet'!I42-'Balance Sheet'!H42+IF('Revenue Model'!I89=1,'Revenue Model'!$B$107,0)</f>
        <v>11.3772432929073</v>
      </c>
    </row>
    <row r="19" customFormat="false" ht="15" hidden="false" customHeight="true" outlineLevel="0" collapsed="false">
      <c r="A19" s="19" t="s">
        <v>276</v>
      </c>
      <c r="B19" s="35" t="n">
        <f aca="false">SUM(B16:B18)</f>
        <v>65.5558518505</v>
      </c>
      <c r="C19" s="35" t="n">
        <f aca="false">SUM(C16:C18)</f>
        <v>-155.0292571795</v>
      </c>
      <c r="D19" s="35" t="n">
        <f aca="false">SUM(D16:D18)</f>
        <v>-62.3058518115</v>
      </c>
      <c r="E19" s="36" t="n">
        <f aca="false">SUM(E16:E18)</f>
        <v>293.142125882881</v>
      </c>
      <c r="F19" s="36" t="n">
        <f aca="false">SUM(F16:F18)</f>
        <v>-194.869178090906</v>
      </c>
      <c r="G19" s="36" t="n">
        <f aca="false">SUM(G16:G18)</f>
        <v>-122.469514663863</v>
      </c>
      <c r="H19" s="36" t="n">
        <f aca="false">SUM(H16:H18)</f>
        <v>-60.9053989893066</v>
      </c>
      <c r="I19" s="36" t="n">
        <f aca="false">SUM(I16:I18)</f>
        <v>-7.84369195148884</v>
      </c>
    </row>
    <row r="20" customFormat="false" ht="15" hidden="false" customHeight="true" outlineLevel="0" collapsed="false">
      <c r="A20" s="9" t="s">
        <v>277</v>
      </c>
      <c r="B20" s="26" t="n">
        <f aca="false">B14+B19</f>
        <v>879.574478640001</v>
      </c>
      <c r="C20" s="26" t="n">
        <f aca="false">C14+C19</f>
        <v>795.26596699</v>
      </c>
      <c r="D20" s="26" t="n">
        <f aca="false">D14+D19</f>
        <v>1036.053203922</v>
      </c>
      <c r="E20" s="27" t="n">
        <f aca="false">E14+E19</f>
        <v>1410.9388228711</v>
      </c>
      <c r="F20" s="27" t="n">
        <f aca="false">F14+F19</f>
        <v>1373.22203038877</v>
      </c>
      <c r="G20" s="27" t="n">
        <f aca="false">G14+G19</f>
        <v>1474.62726272339</v>
      </c>
      <c r="H20" s="27" t="n">
        <f aca="false">H14+H19</f>
        <v>1291.63321846924</v>
      </c>
      <c r="I20" s="27" t="n">
        <f aca="false">I14+I19</f>
        <v>1222.1844791638</v>
      </c>
    </row>
    <row r="21" customFormat="false" ht="15" hidden="false" customHeight="true" outlineLevel="0" collapsed="false">
      <c r="A21" s="13" t="s">
        <v>278</v>
      </c>
      <c r="B21" s="26" t="n">
        <v>-3.223404294</v>
      </c>
      <c r="C21" s="26" t="n">
        <v>-6.2367022025</v>
      </c>
      <c r="D21" s="26" t="n">
        <v>-3.611702171</v>
      </c>
      <c r="E21" s="27" t="n">
        <v>0</v>
      </c>
      <c r="F21" s="27" t="n">
        <v>0</v>
      </c>
      <c r="G21" s="27" t="n">
        <v>0</v>
      </c>
      <c r="H21" s="27" t="n">
        <v>0</v>
      </c>
      <c r="I21" s="27" t="n">
        <v>0</v>
      </c>
    </row>
    <row r="22" customFormat="false" ht="15" hidden="false" customHeight="true" outlineLevel="0" collapsed="false">
      <c r="A22" s="13" t="s">
        <v>279</v>
      </c>
      <c r="B22" s="26" t="n">
        <v>-2.2207447075</v>
      </c>
      <c r="C22" s="26" t="n">
        <v>-0.010638298</v>
      </c>
      <c r="D22" s="26" t="n">
        <v>-2.031914918</v>
      </c>
      <c r="E22" s="27" t="n">
        <f aca="false">'Income Statement'!E43</f>
        <v>-9.51431927226125</v>
      </c>
      <c r="F22" s="27" t="n">
        <f aca="false">'Income Statement'!F43</f>
        <v>-45.966470810745</v>
      </c>
      <c r="G22" s="27" t="n">
        <f aca="false">'Income Statement'!G43</f>
        <v>-147.48209332957</v>
      </c>
      <c r="H22" s="27" t="n">
        <f aca="false">'Income Statement'!H43</f>
        <v>-114.510091015616</v>
      </c>
      <c r="I22" s="27" t="n">
        <f aca="false">'Income Statement'!I43</f>
        <v>-98.4878923245792</v>
      </c>
    </row>
    <row r="23" customFormat="false" ht="15" hidden="false" customHeight="true" outlineLevel="0" collapsed="false">
      <c r="A23" s="78" t="s">
        <v>280</v>
      </c>
      <c r="B23" s="79" t="n">
        <f aca="false">B20+B21+B22</f>
        <v>874.130329638501</v>
      </c>
      <c r="C23" s="79" t="n">
        <f aca="false">C20+C21+C22</f>
        <v>789.0186264895</v>
      </c>
      <c r="D23" s="79" t="n">
        <f aca="false">D20+D21+D22</f>
        <v>1030.409586833</v>
      </c>
      <c r="E23" s="80" t="n">
        <f aca="false">E20+E21+E22</f>
        <v>1401.42450359884</v>
      </c>
      <c r="F23" s="80" t="n">
        <f aca="false">F20+F21+F22</f>
        <v>1327.25555957803</v>
      </c>
      <c r="G23" s="80" t="n">
        <f aca="false">G20+G21+G22</f>
        <v>1327.14516939382</v>
      </c>
      <c r="H23" s="80" t="n">
        <f aca="false">H20+H21+H22</f>
        <v>1177.12312745362</v>
      </c>
      <c r="I23" s="80" t="n">
        <f aca="false">I20+I21+I22</f>
        <v>1123.69658683922</v>
      </c>
      <c r="K23" s="12" t="s">
        <v>281</v>
      </c>
    </row>
    <row r="25" customFormat="false" ht="15" hidden="false" customHeight="true" outlineLevel="0" collapsed="false">
      <c r="A25" s="6" t="s">
        <v>282</v>
      </c>
      <c r="B25" s="7"/>
      <c r="C25" s="7"/>
      <c r="D25" s="7"/>
      <c r="E25" s="7"/>
      <c r="F25" s="7"/>
      <c r="G25" s="7"/>
      <c r="H25" s="7"/>
      <c r="I25" s="7"/>
      <c r="K25" s="7"/>
    </row>
    <row r="26" customFormat="false" ht="15" hidden="false" customHeight="true" outlineLevel="0" collapsed="false">
      <c r="A26" s="13" t="s">
        <v>283</v>
      </c>
      <c r="B26" s="26" t="n">
        <v>-352.4654297615</v>
      </c>
      <c r="C26" s="26" t="n">
        <v>-276.585109702</v>
      </c>
      <c r="D26" s="26" t="n">
        <v>-285.9547906655</v>
      </c>
      <c r="E26" s="27" t="n">
        <f aca="false">-'Balance Sheet'!E52</f>
        <v>-220</v>
      </c>
      <c r="F26" s="27" t="n">
        <f aca="false">-'Balance Sheet'!F52</f>
        <v>-280</v>
      </c>
      <c r="G26" s="27" t="n">
        <f aca="false">-'Balance Sheet'!G52</f>
        <v>-300</v>
      </c>
      <c r="H26" s="27" t="n">
        <f aca="false">-'Balance Sheet'!H52</f>
        <v>-310</v>
      </c>
      <c r="I26" s="27" t="n">
        <f aca="false">-'Balance Sheet'!I52</f>
        <v>-320</v>
      </c>
    </row>
    <row r="27" customFormat="false" ht="15" hidden="false" customHeight="true" outlineLevel="0" collapsed="false">
      <c r="A27" s="13" t="s">
        <v>284</v>
      </c>
      <c r="B27" s="26" t="n">
        <v>0</v>
      </c>
      <c r="C27" s="26" t="n">
        <v>0</v>
      </c>
      <c r="D27" s="26" t="n">
        <v>0</v>
      </c>
      <c r="E27" s="27" t="n">
        <f aca="false">-'Revenue Model'!E101</f>
        <v>-0</v>
      </c>
      <c r="F27" s="27" t="n">
        <f aca="false">-'Revenue Model'!F101</f>
        <v>-60</v>
      </c>
      <c r="G27" s="27" t="n">
        <f aca="false">-'Revenue Model'!G101</f>
        <v>-60</v>
      </c>
      <c r="H27" s="27" t="n">
        <f aca="false">-'Revenue Model'!H101</f>
        <v>-60</v>
      </c>
      <c r="I27" s="27" t="n">
        <f aca="false">-'Revenue Model'!I101</f>
        <v>-60</v>
      </c>
    </row>
    <row r="28" customFormat="false" ht="15" hidden="false" customHeight="true" outlineLevel="0" collapsed="false">
      <c r="A28" s="13" t="s">
        <v>285</v>
      </c>
      <c r="B28" s="26" t="n">
        <v>0</v>
      </c>
      <c r="C28" s="26" t="n">
        <v>0</v>
      </c>
      <c r="D28" s="26" t="n">
        <v>0</v>
      </c>
      <c r="E28" s="27" t="n">
        <f aca="false">-IF('Revenue Model'!E89=1,'Revenue Model'!$B$103,0)</f>
        <v>-2200</v>
      </c>
      <c r="F28" s="27" t="n">
        <f aca="false">-IF('Revenue Model'!F89=1,'Revenue Model'!$B$103,0)</f>
        <v>-0</v>
      </c>
      <c r="G28" s="27" t="n">
        <f aca="false">-IF('Revenue Model'!G89=1,'Revenue Model'!$B$103,0)</f>
        <v>-0</v>
      </c>
      <c r="H28" s="27" t="n">
        <f aca="false">-IF('Revenue Model'!H89=1,'Revenue Model'!$B$103,0)</f>
        <v>-0</v>
      </c>
      <c r="I28" s="27" t="n">
        <f aca="false">-IF('Revenue Model'!I89=1,'Revenue Model'!$B$103,0)</f>
        <v>-0</v>
      </c>
      <c r="K28" s="12" t="s">
        <v>286</v>
      </c>
    </row>
    <row r="29" customFormat="false" ht="15" hidden="false" customHeight="true" outlineLevel="0" collapsed="false">
      <c r="A29" s="13" t="s">
        <v>287</v>
      </c>
      <c r="B29" s="26" t="n">
        <v>0.3430851105</v>
      </c>
      <c r="C29" s="26" t="n">
        <v>0.095744682</v>
      </c>
      <c r="D29" s="26" t="n">
        <v>1.9813830025</v>
      </c>
      <c r="E29" s="27" t="n">
        <v>0</v>
      </c>
      <c r="F29" s="27" t="n">
        <v>0</v>
      </c>
      <c r="G29" s="27" t="n">
        <v>0</v>
      </c>
      <c r="H29" s="27" t="n">
        <v>0</v>
      </c>
      <c r="I29" s="27" t="n">
        <v>0</v>
      </c>
    </row>
    <row r="30" customFormat="false" ht="15" hidden="false" customHeight="true" outlineLevel="0" collapsed="false">
      <c r="A30" s="13" t="s">
        <v>288</v>
      </c>
      <c r="B30" s="26" t="n">
        <v>9.5345745825</v>
      </c>
      <c r="C30" s="26" t="n">
        <v>8.920212873</v>
      </c>
      <c r="D30" s="26" t="n">
        <v>18.840425758</v>
      </c>
      <c r="E30" s="27" t="n">
        <f aca="false">'Income Statement'!E15</f>
        <v>16.35617040904</v>
      </c>
      <c r="F30" s="27" t="n">
        <f aca="false">'Income Statement'!F15</f>
        <v>54.2673973693551</v>
      </c>
      <c r="G30" s="27" t="n">
        <f aca="false">'Income Statement'!G15</f>
        <v>46.7265805141132</v>
      </c>
      <c r="H30" s="27" t="n">
        <f aca="false">'Income Statement'!H15</f>
        <v>43.86639168313</v>
      </c>
      <c r="I30" s="27" t="n">
        <f aca="false">'Income Statement'!I15</f>
        <v>36.5696800861451</v>
      </c>
    </row>
    <row r="31" customFormat="false" ht="15" hidden="false" customHeight="true" outlineLevel="0" collapsed="false">
      <c r="A31" s="78" t="s">
        <v>289</v>
      </c>
      <c r="B31" s="79" t="n">
        <f aca="false">SUM(B26:B30)</f>
        <v>-342.5877700685</v>
      </c>
      <c r="C31" s="79" t="n">
        <f aca="false">SUM(C26:C30)</f>
        <v>-267.569152147</v>
      </c>
      <c r="D31" s="79" t="n">
        <f aca="false">SUM(D26:D30)</f>
        <v>-265.132981905</v>
      </c>
      <c r="E31" s="80" t="n">
        <f aca="false">SUM(E26:E30)</f>
        <v>-2403.64382959096</v>
      </c>
      <c r="F31" s="80" t="n">
        <f aca="false">SUM(F26:F30)</f>
        <v>-285.732602630645</v>
      </c>
      <c r="G31" s="80" t="n">
        <f aca="false">SUM(G26:G30)</f>
        <v>-313.273419485887</v>
      </c>
      <c r="H31" s="80" t="n">
        <f aca="false">SUM(H26:H30)</f>
        <v>-326.13360831687</v>
      </c>
      <c r="I31" s="80" t="n">
        <f aca="false">SUM(I26:I30)</f>
        <v>-343.430319913855</v>
      </c>
    </row>
    <row r="33" customFormat="false" ht="15" hidden="false" customHeight="true" outlineLevel="0" collapsed="false">
      <c r="A33" s="19" t="s">
        <v>290</v>
      </c>
      <c r="B33" s="35" t="n">
        <f aca="false">B23+B26+B27</f>
        <v>521.664899877001</v>
      </c>
      <c r="C33" s="35" t="n">
        <f aca="false">C23+C26+C27</f>
        <v>512.4335167875</v>
      </c>
      <c r="D33" s="35" t="n">
        <f aca="false">D23+D26+D27</f>
        <v>744.4547961675</v>
      </c>
      <c r="E33" s="36" t="n">
        <f aca="false">E23+E26+E27</f>
        <v>1181.42450359884</v>
      </c>
      <c r="F33" s="36" t="n">
        <f aca="false">F23+F26+F27</f>
        <v>987.255559578025</v>
      </c>
      <c r="G33" s="36" t="n">
        <f aca="false">G23+G26+G27</f>
        <v>967.145169393821</v>
      </c>
      <c r="H33" s="36" t="n">
        <f aca="false">H23+H26+H27</f>
        <v>807.123127453621</v>
      </c>
      <c r="I33" s="36" t="n">
        <f aca="false">I23+I26+I27</f>
        <v>743.696586839216</v>
      </c>
    </row>
    <row r="34" customFormat="false" ht="15" hidden="false" customHeight="true" outlineLevel="0" collapsed="false">
      <c r="A34" s="16" t="s">
        <v>291</v>
      </c>
      <c r="B34" s="81" t="n">
        <f aca="false">B33/'Income Statement'!B7</f>
        <v>0.127045134813733</v>
      </c>
      <c r="C34" s="81" t="n">
        <f aca="false">C33/'Income Statement'!C7</f>
        <v>0.118808456165276</v>
      </c>
      <c r="D34" s="81" t="n">
        <f aca="false">D33/'Income Statement'!D7</f>
        <v>0.157364181581451</v>
      </c>
      <c r="E34" s="82" t="n">
        <f aca="false">E33/'Income Statement'!E7</f>
        <v>0.303066442288639</v>
      </c>
      <c r="F34" s="82" t="n">
        <f aca="false">F33/'Income Statement'!F7</f>
        <v>0.183725015972314</v>
      </c>
      <c r="G34" s="82" t="n">
        <f aca="false">G33/'Income Statement'!G7</f>
        <v>0.166770732317769</v>
      </c>
      <c r="H34" s="82" t="n">
        <f aca="false">H33/'Income Statement'!H7</f>
        <v>0.137269339771188</v>
      </c>
      <c r="I34" s="82" t="n">
        <f aca="false">I33/'Income Statement'!I7</f>
        <v>0.127332223887822</v>
      </c>
    </row>
    <row r="35" customFormat="false" ht="15" hidden="false" customHeight="true" outlineLevel="0" collapsed="false">
      <c r="A35" s="28" t="s">
        <v>292</v>
      </c>
      <c r="B35" s="29" t="n">
        <v>652</v>
      </c>
      <c r="C35" s="29" t="n">
        <v>569</v>
      </c>
      <c r="D35" s="29" t="n">
        <v>765</v>
      </c>
      <c r="E35" s="41"/>
      <c r="F35" s="41"/>
      <c r="G35" s="41"/>
      <c r="H35" s="41"/>
      <c r="I35" s="41"/>
      <c r="K35" s="12" t="s">
        <v>293</v>
      </c>
    </row>
    <row r="37" customFormat="false" ht="15" hidden="false" customHeight="true" outlineLevel="0" collapsed="false">
      <c r="A37" s="6" t="s">
        <v>294</v>
      </c>
      <c r="B37" s="7"/>
      <c r="C37" s="7"/>
      <c r="D37" s="7"/>
      <c r="E37" s="7"/>
      <c r="F37" s="7"/>
      <c r="G37" s="7"/>
      <c r="H37" s="7"/>
      <c r="I37" s="7"/>
      <c r="K37" s="7"/>
    </row>
    <row r="38" customFormat="false" ht="15" hidden="false" customHeight="true" outlineLevel="0" collapsed="false">
      <c r="A38" s="13" t="s">
        <v>295</v>
      </c>
      <c r="B38" s="26" t="n">
        <v>1289.84044101</v>
      </c>
      <c r="C38" s="26" t="n">
        <v>3450.5399350235</v>
      </c>
      <c r="D38" s="26" t="n">
        <v>2501.7314129995</v>
      </c>
      <c r="E38" s="27" t="n">
        <f aca="false">MAX('Balance Sheet'!E65,0)+'Balance Sheet'!E68</f>
        <v>2283</v>
      </c>
      <c r="F38" s="27" t="n">
        <f aca="false">MAX('Balance Sheet'!F65,0)+'Balance Sheet'!F68</f>
        <v>0</v>
      </c>
      <c r="G38" s="27" t="n">
        <f aca="false">MAX('Balance Sheet'!G65,0)+'Balance Sheet'!G68</f>
        <v>0</v>
      </c>
      <c r="H38" s="27" t="n">
        <f aca="false">MAX('Balance Sheet'!H65,0)+'Balance Sheet'!H68</f>
        <v>0</v>
      </c>
      <c r="I38" s="27" t="n">
        <f aca="false">MAX('Balance Sheet'!I65,0)+'Balance Sheet'!I68</f>
        <v>0</v>
      </c>
    </row>
    <row r="39" customFormat="false" ht="15" hidden="false" customHeight="true" outlineLevel="0" collapsed="false">
      <c r="A39" s="13" t="s">
        <v>296</v>
      </c>
      <c r="B39" s="26" t="n">
        <v>-1461.042570724</v>
      </c>
      <c r="C39" s="26" t="n">
        <v>-3618.56387321</v>
      </c>
      <c r="D39" s="26" t="n">
        <v>-2942.643652333</v>
      </c>
      <c r="E39" s="27" t="n">
        <f aca="false">'Balance Sheet'!E62+MIN('Balance Sheet'!E65,0)+'Balance Sheet'!E69</f>
        <v>-140</v>
      </c>
      <c r="F39" s="27" t="n">
        <f aca="false">'Balance Sheet'!F62+MIN('Balance Sheet'!F65,0)+'Balance Sheet'!F69</f>
        <v>-825</v>
      </c>
      <c r="G39" s="27" t="n">
        <f aca="false">'Balance Sheet'!G62+MIN('Balance Sheet'!G65,0)+'Balance Sheet'!G69</f>
        <v>-650</v>
      </c>
      <c r="H39" s="27" t="n">
        <f aca="false">'Balance Sheet'!H62+MIN('Balance Sheet'!H65,0)+'Balance Sheet'!H69</f>
        <v>-650</v>
      </c>
      <c r="I39" s="27" t="n">
        <f aca="false">'Balance Sheet'!I62+MIN('Balance Sheet'!I65,0)+'Balance Sheet'!I69</f>
        <v>-650</v>
      </c>
      <c r="K39" s="12" t="s">
        <v>297</v>
      </c>
    </row>
    <row r="40" customFormat="false" ht="15" hidden="false" customHeight="true" outlineLevel="0" collapsed="false">
      <c r="A40" s="13" t="s">
        <v>298</v>
      </c>
      <c r="B40" s="26" t="n">
        <v>-114.462767331</v>
      </c>
      <c r="C40" s="26" t="n">
        <v>-90.6569159815</v>
      </c>
      <c r="D40" s="26" t="n">
        <v>-87.9547882895</v>
      </c>
      <c r="E40" s="27" t="n">
        <f aca="false">'Income Statement'!E38</f>
        <v>-78</v>
      </c>
      <c r="F40" s="27" t="n">
        <f aca="false">'Income Statement'!F38</f>
        <v>-184.37260705429</v>
      </c>
      <c r="G40" s="27" t="n">
        <f aca="false">'Income Statement'!G38</f>
        <v>-130.20781979106</v>
      </c>
      <c r="H40" s="27" t="n">
        <f aca="false">'Income Statement'!H38</f>
        <v>-90.25031979106</v>
      </c>
      <c r="I40" s="27" t="n">
        <f aca="false">'Income Statement'!I38</f>
        <v>-54.50031979106</v>
      </c>
    </row>
    <row r="41" customFormat="false" ht="15" hidden="false" customHeight="true" outlineLevel="0" collapsed="false">
      <c r="A41" s="13" t="s">
        <v>299</v>
      </c>
      <c r="B41" s="26" t="n">
        <v>-3.132978761</v>
      </c>
      <c r="C41" s="26" t="n">
        <v>-3.3696808915</v>
      </c>
      <c r="D41" s="26" t="n">
        <v>-5.5718085775</v>
      </c>
      <c r="E41" s="27" t="n">
        <v>-2</v>
      </c>
      <c r="F41" s="27" t="n">
        <v>-2</v>
      </c>
      <c r="G41" s="27" t="n">
        <v>-2</v>
      </c>
      <c r="H41" s="27" t="n">
        <v>-2</v>
      </c>
      <c r="I41" s="27" t="n">
        <v>-2</v>
      </c>
    </row>
    <row r="42" customFormat="false" ht="15" hidden="false" customHeight="true" outlineLevel="0" collapsed="false">
      <c r="A42" s="13" t="s">
        <v>300</v>
      </c>
      <c r="B42" s="26" t="n">
        <v>-372.739366175</v>
      </c>
      <c r="C42" s="26" t="n">
        <v>-129.8696824095</v>
      </c>
      <c r="D42" s="26" t="n">
        <v>-139.792554869</v>
      </c>
      <c r="E42" s="27" t="n">
        <v>-230</v>
      </c>
      <c r="F42" s="61" t="n">
        <f aca="false">-'Balance Sheet'!$B$77*'Income Statement'!E47</f>
        <v>-218.670771274138</v>
      </c>
      <c r="G42" s="61" t="n">
        <f aca="false">-'Balance Sheet'!$B$77*'Income Statement'!F47</f>
        <v>-303.168650891454</v>
      </c>
      <c r="H42" s="61" t="n">
        <f aca="false">-'Balance Sheet'!$B$77*'Income Statement'!G47</f>
        <v>-291.156989270314</v>
      </c>
      <c r="I42" s="61" t="n">
        <f aca="false">-'Balance Sheet'!$B$77*'Income Statement'!H47</f>
        <v>-226.341750514305</v>
      </c>
      <c r="K42" s="12" t="s">
        <v>301</v>
      </c>
    </row>
    <row r="43" customFormat="false" ht="15" hidden="false" customHeight="true" outlineLevel="0" collapsed="false">
      <c r="A43" s="13" t="s">
        <v>302</v>
      </c>
      <c r="B43" s="26" t="n">
        <v>35.3696812755</v>
      </c>
      <c r="C43" s="26" t="n">
        <v>16.228723599</v>
      </c>
      <c r="D43" s="26" t="n">
        <v>11.138298006</v>
      </c>
      <c r="E43" s="27" t="n">
        <v>0</v>
      </c>
      <c r="F43" s="27" t="n">
        <v>0</v>
      </c>
      <c r="G43" s="27" t="n">
        <v>0</v>
      </c>
      <c r="H43" s="27" t="n">
        <v>0</v>
      </c>
      <c r="I43" s="27" t="n">
        <v>0</v>
      </c>
    </row>
    <row r="44" customFormat="false" ht="15" hidden="false" customHeight="true" outlineLevel="0" collapsed="false">
      <c r="A44" s="13" t="s">
        <v>303</v>
      </c>
      <c r="B44" s="26" t="n">
        <v>0.5505319215</v>
      </c>
      <c r="C44" s="26" t="n">
        <v>0.3111702165</v>
      </c>
      <c r="D44" s="26" t="n">
        <v>0.255319152</v>
      </c>
      <c r="E44" s="27" t="n">
        <v>0</v>
      </c>
      <c r="F44" s="27" t="n">
        <v>0</v>
      </c>
      <c r="G44" s="27" t="n">
        <v>0</v>
      </c>
      <c r="H44" s="27" t="n">
        <v>0</v>
      </c>
      <c r="I44" s="27" t="n">
        <v>0</v>
      </c>
    </row>
    <row r="45" customFormat="false" ht="15" hidden="false" customHeight="true" outlineLevel="0" collapsed="false">
      <c r="A45" s="13" t="s">
        <v>304</v>
      </c>
      <c r="B45" s="26" t="n">
        <v>0</v>
      </c>
      <c r="C45" s="26" t="n">
        <v>0</v>
      </c>
      <c r="D45" s="26" t="n">
        <v>2.5292553495</v>
      </c>
      <c r="E45" s="27" t="n">
        <f aca="false">IF('Revenue Model'!E89=1,'Revenue Model'!$B$110,0)</f>
        <v>117</v>
      </c>
      <c r="F45" s="27" t="n">
        <f aca="false">IF('Revenue Model'!F89=1,'Revenue Model'!$B$110,0)</f>
        <v>0</v>
      </c>
      <c r="G45" s="27" t="n">
        <f aca="false">IF('Revenue Model'!G89=1,'Revenue Model'!$B$110,0)</f>
        <v>0</v>
      </c>
      <c r="H45" s="27" t="n">
        <f aca="false">IF('Revenue Model'!H89=1,'Revenue Model'!$B$110,0)</f>
        <v>0</v>
      </c>
      <c r="I45" s="27" t="n">
        <f aca="false">IF('Revenue Model'!I89=1,'Revenue Model'!$B$110,0)</f>
        <v>0</v>
      </c>
    </row>
    <row r="46" customFormat="false" ht="15" hidden="false" customHeight="true" outlineLevel="0" collapsed="false">
      <c r="A46" s="78" t="s">
        <v>305</v>
      </c>
      <c r="B46" s="79" t="n">
        <f aca="false">SUM(B38:B45)</f>
        <v>-625.617028784</v>
      </c>
      <c r="C46" s="79" t="n">
        <f aca="false">SUM(C38:C45)</f>
        <v>-375.3803236535</v>
      </c>
      <c r="D46" s="79" t="n">
        <f aca="false">SUM(D38:D45)</f>
        <v>-660.308518562</v>
      </c>
      <c r="E46" s="80" t="n">
        <f aca="false">SUM(E38:E45)</f>
        <v>1950</v>
      </c>
      <c r="F46" s="80" t="n">
        <f aca="false">SUM(F38:F45)</f>
        <v>-1230.04337832843</v>
      </c>
      <c r="G46" s="80" t="n">
        <f aca="false">SUM(G38:G45)</f>
        <v>-1085.37647068251</v>
      </c>
      <c r="H46" s="80" t="n">
        <f aca="false">SUM(H38:H45)</f>
        <v>-1033.40730906137</v>
      </c>
      <c r="I46" s="80" t="n">
        <f aca="false">SUM(I38:I45)</f>
        <v>-932.842070305365</v>
      </c>
    </row>
    <row r="48" customFormat="false" ht="15" hidden="false" customHeight="true" outlineLevel="0" collapsed="false">
      <c r="A48" s="6" t="s">
        <v>306</v>
      </c>
      <c r="B48" s="7"/>
      <c r="C48" s="7"/>
      <c r="D48" s="7"/>
      <c r="E48" s="7"/>
      <c r="F48" s="7"/>
      <c r="G48" s="7"/>
      <c r="H48" s="7"/>
      <c r="I48" s="7"/>
      <c r="K48" s="7"/>
    </row>
    <row r="49" customFormat="false" ht="15" hidden="false" customHeight="true" outlineLevel="0" collapsed="false">
      <c r="A49" s="19" t="s">
        <v>307</v>
      </c>
      <c r="B49" s="35" t="n">
        <f aca="false">B23+B31+B46</f>
        <v>-94.0744692139994</v>
      </c>
      <c r="C49" s="35" t="n">
        <f aca="false">C23+C31+C46</f>
        <v>146.069150689</v>
      </c>
      <c r="D49" s="35" t="n">
        <f aca="false">D23+D31+D46</f>
        <v>104.968086366001</v>
      </c>
      <c r="E49" s="36" t="n">
        <f aca="false">E23+E31+E46</f>
        <v>947.780674007877</v>
      </c>
      <c r="F49" s="36" t="n">
        <f aca="false">F23+F31+F46</f>
        <v>-188.520421381047</v>
      </c>
      <c r="G49" s="36" t="n">
        <f aca="false">G23+G31+G46</f>
        <v>-71.5047207745804</v>
      </c>
      <c r="H49" s="36" t="n">
        <f aca="false">H23+H31+H46</f>
        <v>-182.417789924623</v>
      </c>
      <c r="I49" s="36" t="n">
        <f aca="false">I23+I31+I46</f>
        <v>-152.575803380004</v>
      </c>
    </row>
    <row r="50" customFormat="false" ht="15" hidden="false" customHeight="true" outlineLevel="0" collapsed="false">
      <c r="A50" s="9" t="s">
        <v>308</v>
      </c>
      <c r="B50" s="26" t="n">
        <v>248.9813859665</v>
      </c>
      <c r="C50" s="26" t="n">
        <f aca="false">'Balance Sheet'!B18</f>
        <v>158.595746584</v>
      </c>
      <c r="D50" s="26" t="n">
        <f aca="false">'Balance Sheet'!C18</f>
        <v>302.6595781</v>
      </c>
      <c r="E50" s="27" t="n">
        <f aca="false">'Balance Sheet'!D18</f>
        <v>408.904260226</v>
      </c>
      <c r="F50" s="27" t="n">
        <f aca="false">'Balance Sheet'!E18</f>
        <v>1356.68493423388</v>
      </c>
      <c r="G50" s="27" t="n">
        <f aca="false">'Balance Sheet'!F18</f>
        <v>1168.16451285283</v>
      </c>
      <c r="H50" s="27" t="n">
        <f aca="false">'Balance Sheet'!G18</f>
        <v>1096.65979207825</v>
      </c>
      <c r="I50" s="27" t="n">
        <f aca="false">'Balance Sheet'!H18</f>
        <v>914.242002153626</v>
      </c>
      <c r="K50" s="12" t="s">
        <v>309</v>
      </c>
    </row>
    <row r="51" customFormat="false" ht="15" hidden="false" customHeight="true" outlineLevel="0" collapsed="false">
      <c r="A51" s="13" t="s">
        <v>310</v>
      </c>
      <c r="B51" s="26" t="n">
        <v>3.6888298315</v>
      </c>
      <c r="C51" s="26" t="n">
        <v>-2.005319173</v>
      </c>
      <c r="D51" s="26" t="n">
        <v>1.27659576</v>
      </c>
      <c r="E51" s="27" t="n">
        <v>0</v>
      </c>
      <c r="F51" s="27" t="n">
        <v>0</v>
      </c>
      <c r="G51" s="27" t="n">
        <v>0</v>
      </c>
      <c r="H51" s="27" t="n">
        <v>0</v>
      </c>
      <c r="I51" s="27" t="n">
        <v>0</v>
      </c>
    </row>
    <row r="52" customFormat="false" ht="15" hidden="false" customHeight="true" outlineLevel="0" collapsed="false">
      <c r="A52" s="19" t="s">
        <v>311</v>
      </c>
      <c r="B52" s="35" t="n">
        <f aca="false">B49+B50+B51</f>
        <v>158.595746584001</v>
      </c>
      <c r="C52" s="35" t="n">
        <f aca="false">C49+C50+C51</f>
        <v>302.6595781</v>
      </c>
      <c r="D52" s="35" t="n">
        <f aca="false">D49+D50+D51</f>
        <v>408.904260226001</v>
      </c>
      <c r="E52" s="36" t="n">
        <f aca="false">E49+E50+E51</f>
        <v>1356.68493423388</v>
      </c>
      <c r="F52" s="36" t="n">
        <f aca="false">F49+F50+F51</f>
        <v>1168.16451285283</v>
      </c>
      <c r="G52" s="36" t="n">
        <f aca="false">G49+G50+G51</f>
        <v>1096.65979207825</v>
      </c>
      <c r="H52" s="36" t="n">
        <f aca="false">H49+H50+H51</f>
        <v>914.242002153626</v>
      </c>
      <c r="I52" s="36" t="n">
        <f aca="false">I49+I50+I51</f>
        <v>761.666198773623</v>
      </c>
    </row>
    <row r="53" customFormat="false" ht="15" hidden="false" customHeight="true" outlineLevel="0" collapsed="false">
      <c r="A53" s="16" t="s">
        <v>312</v>
      </c>
      <c r="B53" s="83" t="n">
        <f aca="false">ROUND(B52-'Balance Sheet'!B18,6)</f>
        <v>0</v>
      </c>
      <c r="C53" s="83" t="n">
        <f aca="false">ROUND(C52-'Balance Sheet'!C18,6)</f>
        <v>0</v>
      </c>
      <c r="D53" s="83" t="n">
        <f aca="false">ROUND(D52-'Balance Sheet'!D18,6)</f>
        <v>0</v>
      </c>
      <c r="E53" s="84" t="n">
        <f aca="false">ROUND(E52-'Balance Sheet'!E18,6)</f>
        <v>0</v>
      </c>
      <c r="F53" s="84" t="n">
        <f aca="false">ROUND(F52-'Balance Sheet'!F18,6)</f>
        <v>0</v>
      </c>
      <c r="G53" s="84" t="n">
        <f aca="false">ROUND(G52-'Balance Sheet'!G18,6)</f>
        <v>0</v>
      </c>
      <c r="H53" s="84" t="n">
        <f aca="false">ROUND(H52-'Balance Sheet'!H18,6)</f>
        <v>0</v>
      </c>
      <c r="I53" s="84" t="n">
        <f aca="false">ROUND(I52-'Balance Sheet'!I18,6)</f>
        <v>0</v>
      </c>
    </row>
    <row r="54" customFormat="false" ht="15" hidden="false" customHeight="true" outlineLevel="0" collapsed="false">
      <c r="A54" s="16" t="s">
        <v>313</v>
      </c>
      <c r="B54" s="64" t="n">
        <v>0</v>
      </c>
      <c r="C54" s="64" t="n">
        <v>20.6143619495</v>
      </c>
      <c r="D54" s="64" t="n">
        <v>22.324468353</v>
      </c>
      <c r="E54" s="85" t="n">
        <v>22.324468353</v>
      </c>
      <c r="F54" s="85" t="n">
        <v>22.324468353</v>
      </c>
      <c r="G54" s="85" t="n">
        <v>22.324468353</v>
      </c>
      <c r="H54" s="85" t="n">
        <v>22.324468353</v>
      </c>
      <c r="I54" s="85" t="n">
        <v>22.324468353</v>
      </c>
    </row>
    <row r="55" customFormat="false" ht="15" hidden="false" customHeight="true" outlineLevel="0" collapsed="false">
      <c r="A55" s="28" t="s">
        <v>314</v>
      </c>
      <c r="B55" s="29" t="n">
        <f aca="false">B52-B54</f>
        <v>158.595746584001</v>
      </c>
      <c r="C55" s="29" t="n">
        <f aca="false">C52-C54</f>
        <v>282.0452161505</v>
      </c>
      <c r="D55" s="29" t="n">
        <f aca="false">D52-D54</f>
        <v>386.579791873001</v>
      </c>
      <c r="E55" s="30" t="n">
        <f aca="false">E52-E54</f>
        <v>1334.36046588088</v>
      </c>
      <c r="F55" s="30" t="n">
        <f aca="false">F52-F54</f>
        <v>1145.84004449983</v>
      </c>
      <c r="G55" s="30" t="n">
        <f aca="false">G52-G54</f>
        <v>1074.33532372525</v>
      </c>
      <c r="H55" s="30" t="n">
        <f aca="false">H52-H54</f>
        <v>891.917533800626</v>
      </c>
      <c r="I55" s="30" t="n">
        <f aca="false">I52-I54</f>
        <v>739.341730420622</v>
      </c>
    </row>
    <row r="57" customFormat="false" ht="15" hidden="false" customHeight="true" outlineLevel="0" collapsed="false">
      <c r="A57" s="6" t="s">
        <v>315</v>
      </c>
      <c r="B57" s="7"/>
      <c r="C57" s="7"/>
      <c r="D57" s="7"/>
      <c r="E57" s="7"/>
      <c r="F57" s="7"/>
      <c r="G57" s="7"/>
      <c r="H57" s="7"/>
      <c r="I57" s="7"/>
      <c r="K57" s="7"/>
    </row>
    <row r="58" customFormat="false" ht="15" hidden="false" customHeight="true" outlineLevel="0" collapsed="false">
      <c r="A58" s="9" t="s">
        <v>316</v>
      </c>
      <c r="B58" s="75" t="n">
        <f aca="false">B23/'Income Statement'!B27</f>
        <v>1.08788171665751</v>
      </c>
      <c r="C58" s="75" t="n">
        <f aca="false">C23/'Income Statement'!C27</f>
        <v>0.840142161304939</v>
      </c>
      <c r="D58" s="75" t="n">
        <f aca="false">D23/'Income Statement'!D27</f>
        <v>0.955508861234013</v>
      </c>
      <c r="E58" s="76" t="n">
        <f aca="false">E23/'Income Statement'!E27</f>
        <v>1.24112911906178</v>
      </c>
      <c r="F58" s="76" t="n">
        <f aca="false">F23/'Income Statement'!F27</f>
        <v>0.819618060375295</v>
      </c>
      <c r="G58" s="76" t="n">
        <f aca="false">G23/'Income Statement'!G27</f>
        <v>0.808828788914399</v>
      </c>
      <c r="H58" s="76" t="n">
        <f aca="false">H23/'Income Statement'!H27</f>
        <v>0.844781753855413</v>
      </c>
      <c r="I58" s="76" t="n">
        <f aca="false">I23/'Income Statement'!I27</f>
        <v>0.889283394848135</v>
      </c>
    </row>
    <row r="59" customFormat="false" ht="15" hidden="false" customHeight="true" outlineLevel="0" collapsed="false">
      <c r="A59" s="9" t="s">
        <v>317</v>
      </c>
      <c r="B59" s="75" t="n">
        <f aca="false">-(B26+B27)/'Income Statement'!B7</f>
        <v>0.0858386639618423</v>
      </c>
      <c r="C59" s="75" t="n">
        <f aca="false">-(C26+C27)/'Income Statement'!C7</f>
        <v>0.0641266599577734</v>
      </c>
      <c r="D59" s="75" t="n">
        <f aca="false">-(D26+D27)/'Income Statement'!D7</f>
        <v>0.0604456332795884</v>
      </c>
      <c r="E59" s="76" t="n">
        <f aca="false">-(E26+E27)/'Income Statement'!E7</f>
        <v>0.0564357833280056</v>
      </c>
      <c r="F59" s="76" t="n">
        <f aca="false">-(F26+F27)/'Income Statement'!F7</f>
        <v>0.0632728829172521</v>
      </c>
      <c r="G59" s="76" t="n">
        <f aca="false">-(G26+G27)/'Income Statement'!G7</f>
        <v>0.0620769927145752</v>
      </c>
      <c r="H59" s="76" t="n">
        <f aca="false">-(H26+H27)/'Income Statement'!H7</f>
        <v>0.0629267753429084</v>
      </c>
      <c r="I59" s="76" t="n">
        <f aca="false">-(I26+I27)/'Income Statement'!I7</f>
        <v>0.0650618087182824</v>
      </c>
    </row>
    <row r="60" customFormat="false" ht="15" hidden="false" customHeight="true" outlineLevel="0" collapsed="false">
      <c r="A60" s="9" t="s">
        <v>318</v>
      </c>
      <c r="B60" s="14" t="n">
        <f aca="false">-(B26+B27)/B8</f>
        <v>0.989856966799866</v>
      </c>
      <c r="C60" s="14" t="n">
        <f aca="false">-(C26+C27)/C8</f>
        <v>0.754310251035403</v>
      </c>
      <c r="D60" s="14" t="n">
        <f aca="false">-(D26+D27)/D8</f>
        <v>0.700225986492911</v>
      </c>
      <c r="E60" s="15" t="n">
        <f aca="false">-(E26+E27)/E8</f>
        <v>0.521493946762046</v>
      </c>
      <c r="F60" s="15" t="n">
        <f aca="false">-(F26+F27)/F8</f>
        <v>0.655539737505715</v>
      </c>
      <c r="G60" s="15" t="n">
        <f aca="false">-(G26+G27)/G8</f>
        <v>0.678731006512051</v>
      </c>
      <c r="H60" s="15" t="n">
        <f aca="false">-(H26+H27)/H8</f>
        <v>0.681708368256395</v>
      </c>
      <c r="I60" s="15" t="n">
        <f aca="false">-(I26+I27)/I8</f>
        <v>0.684054143813256</v>
      </c>
    </row>
    <row r="61" customFormat="false" ht="15" hidden="false" customHeight="true" outlineLevel="0" collapsed="false">
      <c r="A61" s="9" t="s">
        <v>319</v>
      </c>
      <c r="B61" s="14" t="n">
        <f aca="false">-B42/B33</f>
        <v>0.714518776829504</v>
      </c>
      <c r="C61" s="14" t="n">
        <f aca="false">-C42/C33</f>
        <v>0.253437135072012</v>
      </c>
      <c r="D61" s="14" t="n">
        <f aca="false">-D42/D33</f>
        <v>0.18777843273851</v>
      </c>
      <c r="E61" s="15" t="n">
        <f aca="false">-E42/E33</f>
        <v>0.194680235003911</v>
      </c>
      <c r="F61" s="15" t="n">
        <f aca="false">-F42/F33</f>
        <v>0.221493583047132</v>
      </c>
      <c r="G61" s="15" t="n">
        <f aca="false">-G42/G33</f>
        <v>0.313467574967543</v>
      </c>
      <c r="H61" s="15" t="n">
        <f aca="false">-H42/H33</f>
        <v>0.360734291171757</v>
      </c>
      <c r="I61" s="15" t="n">
        <f aca="false">-I42/I33</f>
        <v>0.30434689968967</v>
      </c>
    </row>
    <row r="62" customFormat="false" ht="15" hidden="false" customHeight="true" outlineLevel="0" collapsed="false">
      <c r="A62" s="77" t="s">
        <v>320</v>
      </c>
      <c r="B62" s="35" t="n">
        <f aca="false">SUM(E33:I33)</f>
        <v>4686.64494686352</v>
      </c>
    </row>
    <row r="64" customFormat="false" ht="25.5" hidden="false" customHeight="true" outlineLevel="0" collapsed="false">
      <c r="A64" s="3" t="s">
        <v>321</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Aluminium Bahrain B.S.C. (Alba)  |  BHB: ALBH  |  Financial model, 28 August 2026&amp;R&amp;8 Al Ramz Investment Research  |  Page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E79"/>
    <pageSetUpPr fitToPage="true"/>
  </sheetPr>
  <dimension ref="A1:K9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78"/>
  </cols>
  <sheetData>
    <row r="1" customFormat="false" ht="15.75" hidden="false" customHeight="true" outlineLevel="0" collapsed="false">
      <c r="A1" s="2" t="s">
        <v>322</v>
      </c>
    </row>
    <row r="2" customFormat="false" ht="15" hidden="false" customHeight="true" outlineLevel="0" collapsed="false">
      <c r="A2" s="3" t="s">
        <v>323</v>
      </c>
    </row>
    <row r="4" customFormat="false" ht="15" hidden="false" customHeight="true" outlineLevel="0" collapsed="false">
      <c r="B4" s="4" t="s">
        <v>2</v>
      </c>
      <c r="C4" s="4" t="s">
        <v>3</v>
      </c>
      <c r="D4" s="4" t="s">
        <v>4</v>
      </c>
      <c r="E4" s="4" t="s">
        <v>5</v>
      </c>
      <c r="F4" s="4" t="s">
        <v>6</v>
      </c>
      <c r="G4" s="4" t="s">
        <v>7</v>
      </c>
      <c r="H4" s="4" t="s">
        <v>8</v>
      </c>
      <c r="I4" s="4" t="s">
        <v>9</v>
      </c>
      <c r="K4" s="5" t="s">
        <v>10</v>
      </c>
    </row>
    <row r="6" customFormat="false" ht="15" hidden="false" customHeight="true" outlineLevel="0" collapsed="false">
      <c r="A6" s="6" t="s">
        <v>324</v>
      </c>
      <c r="B6" s="7"/>
      <c r="C6" s="7"/>
      <c r="D6" s="7"/>
      <c r="E6" s="7"/>
      <c r="F6" s="7"/>
      <c r="G6" s="7"/>
      <c r="H6" s="7"/>
      <c r="I6" s="7"/>
      <c r="K6" s="7"/>
    </row>
    <row r="7" customFormat="false" ht="15" hidden="false" customHeight="true" outlineLevel="0" collapsed="false">
      <c r="A7" s="19" t="s">
        <v>325</v>
      </c>
    </row>
    <row r="8" customFormat="false" ht="15" hidden="false" customHeight="true" outlineLevel="0" collapsed="false">
      <c r="A8" s="13" t="s">
        <v>326</v>
      </c>
      <c r="B8" s="26" t="n">
        <v>5050.6144223095</v>
      </c>
      <c r="C8" s="26" t="n">
        <v>4962.3378255055</v>
      </c>
      <c r="D8" s="26" t="n">
        <v>4820.7473982745</v>
      </c>
      <c r="E8" s="27" t="n">
        <f aca="false">E58</f>
        <v>5918.88248236133</v>
      </c>
      <c r="F8" s="27" t="n">
        <f aca="false">F58</f>
        <v>5740.22589978148</v>
      </c>
      <c r="G8" s="27" t="n">
        <f aca="false">G58</f>
        <v>5569.82431720164</v>
      </c>
      <c r="H8" s="27" t="n">
        <f aca="false">H58</f>
        <v>5397.0702346218</v>
      </c>
      <c r="I8" s="27" t="n">
        <f aca="false">I58</f>
        <v>5221.55865204196</v>
      </c>
      <c r="K8" s="12" t="s">
        <v>327</v>
      </c>
    </row>
    <row r="9" customFormat="false" ht="15" hidden="false" customHeight="true" outlineLevel="0" collapsed="false">
      <c r="A9" s="13" t="s">
        <v>328</v>
      </c>
      <c r="B9" s="26" t="n">
        <v>0</v>
      </c>
      <c r="C9" s="26" t="n">
        <v>0</v>
      </c>
      <c r="D9" s="26" t="n">
        <v>0</v>
      </c>
      <c r="E9" s="61" t="n">
        <f aca="false">D9+IF('Revenue Model'!E89=1,'Revenue Model'!$B$108,0)</f>
        <v>700</v>
      </c>
      <c r="F9" s="61" t="n">
        <f aca="false">E9+IF('Revenue Model'!F89=1,'Revenue Model'!$B$108,0)</f>
        <v>700</v>
      </c>
      <c r="G9" s="61" t="n">
        <f aca="false">F9+IF('Revenue Model'!G89=1,'Revenue Model'!$B$108,0)</f>
        <v>700</v>
      </c>
      <c r="H9" s="61" t="n">
        <f aca="false">G9+IF('Revenue Model'!H89=1,'Revenue Model'!$B$108,0)</f>
        <v>700</v>
      </c>
      <c r="I9" s="61" t="n">
        <f aca="false">H9+IF('Revenue Model'!I89=1,'Revenue Model'!$B$108,0)</f>
        <v>700</v>
      </c>
      <c r="K9" s="12" t="s">
        <v>329</v>
      </c>
    </row>
    <row r="10" customFormat="false" ht="15" hidden="false" customHeight="true" outlineLevel="0" collapsed="false">
      <c r="A10" s="13" t="s">
        <v>330</v>
      </c>
      <c r="B10" s="26" t="n">
        <v>22.675532187</v>
      </c>
      <c r="C10" s="26" t="n">
        <v>23.6622343265</v>
      </c>
      <c r="D10" s="26" t="n">
        <v>12.398936319</v>
      </c>
      <c r="E10" s="27" t="n">
        <v>12.398936319</v>
      </c>
      <c r="F10" s="27" t="n">
        <v>12.398936319</v>
      </c>
      <c r="G10" s="27" t="n">
        <v>12.398936319</v>
      </c>
      <c r="H10" s="27" t="n">
        <v>12.398936319</v>
      </c>
      <c r="I10" s="27" t="n">
        <v>12.398936319</v>
      </c>
    </row>
    <row r="11" customFormat="false" ht="15" hidden="false" customHeight="true" outlineLevel="0" collapsed="false">
      <c r="A11" s="13" t="s">
        <v>274</v>
      </c>
      <c r="B11" s="26" t="n">
        <v>14.420212939</v>
      </c>
      <c r="C11" s="26" t="n">
        <v>12.7792554725</v>
      </c>
      <c r="D11" s="26" t="n">
        <v>9.797872458</v>
      </c>
      <c r="E11" s="27" t="n">
        <v>9.797872458</v>
      </c>
      <c r="F11" s="27" t="n">
        <v>9.797872458</v>
      </c>
      <c r="G11" s="27" t="n">
        <v>9.797872458</v>
      </c>
      <c r="H11" s="27" t="n">
        <v>9.797872458</v>
      </c>
      <c r="I11" s="27" t="n">
        <v>9.797872458</v>
      </c>
    </row>
    <row r="12" customFormat="false" ht="15" hidden="false" customHeight="true" outlineLevel="0" collapsed="false">
      <c r="A12" s="13" t="s">
        <v>331</v>
      </c>
      <c r="B12" s="26" t="n">
        <v>0.239361705</v>
      </c>
      <c r="C12" s="26" t="n">
        <v>0.202127662</v>
      </c>
      <c r="D12" s="26" t="n">
        <v>0.1515957465</v>
      </c>
      <c r="E12" s="27" t="n">
        <v>0.1515957465</v>
      </c>
      <c r="F12" s="27" t="n">
        <v>0.1515957465</v>
      </c>
      <c r="G12" s="27" t="n">
        <v>0.1515957465</v>
      </c>
      <c r="H12" s="27" t="n">
        <v>0.1515957465</v>
      </c>
      <c r="I12" s="27" t="n">
        <v>0.1515957465</v>
      </c>
    </row>
    <row r="13" customFormat="false" ht="15" hidden="false" customHeight="true" outlineLevel="0" collapsed="false">
      <c r="A13" s="19" t="s">
        <v>332</v>
      </c>
      <c r="B13" s="35" t="n">
        <f aca="false">SUM(B8:B12)</f>
        <v>5087.9495291405</v>
      </c>
      <c r="C13" s="35" t="n">
        <f aca="false">SUM(C8:C12)</f>
        <v>4998.9814429665</v>
      </c>
      <c r="D13" s="35" t="n">
        <f aca="false">SUM(D8:D12)</f>
        <v>4843.095802798</v>
      </c>
      <c r="E13" s="36" t="n">
        <f aca="false">SUM(E8:E12)</f>
        <v>6641.23088688483</v>
      </c>
      <c r="F13" s="36" t="n">
        <f aca="false">SUM(F8:F12)</f>
        <v>6462.57430430498</v>
      </c>
      <c r="G13" s="36" t="n">
        <f aca="false">SUM(G8:G12)</f>
        <v>6292.17272172514</v>
      </c>
      <c r="H13" s="36" t="n">
        <f aca="false">SUM(H8:H12)</f>
        <v>6119.4186391453</v>
      </c>
      <c r="I13" s="36" t="n">
        <f aca="false">SUM(I8:I12)</f>
        <v>5943.90705656546</v>
      </c>
    </row>
    <row r="14" customFormat="false" ht="15" hidden="false" customHeight="true" outlineLevel="0" collapsed="false">
      <c r="A14" s="19" t="s">
        <v>333</v>
      </c>
    </row>
    <row r="15" customFormat="false" ht="15" hidden="false" customHeight="true" outlineLevel="0" collapsed="false">
      <c r="A15" s="13" t="s">
        <v>273</v>
      </c>
      <c r="B15" s="26" t="n">
        <v>930.3111813765</v>
      </c>
      <c r="C15" s="26" t="n">
        <v>1077.8271405935</v>
      </c>
      <c r="D15" s="26" t="n">
        <v>1014.962778137</v>
      </c>
      <c r="E15" s="61" t="n">
        <f aca="false">E81*'Revenue Model'!E139+IF('Revenue Model'!E89=1,'Revenue Model'!$B$105,0)</f>
        <v>981.955128309739</v>
      </c>
      <c r="F15" s="61" t="n">
        <f aca="false">F81*'Revenue Model'!F139+IF('Revenue Model'!F89=1,'Revenue Model'!$B$105,0)</f>
        <v>1113.20422787755</v>
      </c>
      <c r="G15" s="61" t="n">
        <f aca="false">G81*'Revenue Model'!G139+IF('Revenue Model'!G89=1,'Revenue Model'!$B$105,0)</f>
        <v>1222.22507142796</v>
      </c>
      <c r="H15" s="61" t="n">
        <f aca="false">H81*'Revenue Model'!H139+IF('Revenue Model'!H89=1,'Revenue Model'!$B$105,0)</f>
        <v>1312.01550290836</v>
      </c>
      <c r="I15" s="61" t="n">
        <f aca="false">I81*'Revenue Model'!I139+IF('Revenue Model'!I89=1,'Revenue Model'!$B$105,0)</f>
        <v>1337.04543815275</v>
      </c>
      <c r="K15" s="12" t="s">
        <v>334</v>
      </c>
    </row>
    <row r="16" customFormat="false" ht="15" hidden="false" customHeight="true" outlineLevel="0" collapsed="false">
      <c r="A16" s="13" t="s">
        <v>274</v>
      </c>
      <c r="B16" s="26" t="n">
        <v>600.234049756</v>
      </c>
      <c r="C16" s="26" t="n">
        <v>718.88298735</v>
      </c>
      <c r="D16" s="26" t="n">
        <v>702.920221201</v>
      </c>
      <c r="E16" s="61" t="n">
        <f aca="false">E80*'Revenue Model'!E117+IF('Revenue Model'!E89=1,'Revenue Model'!$B$106,0)</f>
        <v>726.93892208</v>
      </c>
      <c r="F16" s="61" t="n">
        <f aca="false">F80*'Revenue Model'!F117+IF('Revenue Model'!F89=1,'Revenue Model'!$B$106,0)</f>
        <v>795.2854</v>
      </c>
      <c r="G16" s="61" t="n">
        <f aca="false">G80*'Revenue Model'!G117+IF('Revenue Model'!G89=1,'Revenue Model'!$B$106,0)</f>
        <v>858.289</v>
      </c>
      <c r="H16" s="61" t="n">
        <f aca="false">H80*'Revenue Model'!H117+IF('Revenue Model'!H89=1,'Revenue Model'!$B$106,0)</f>
        <v>870.2178</v>
      </c>
      <c r="I16" s="61" t="n">
        <f aca="false">I80*'Revenue Model'!I117+IF('Revenue Model'!I89=1,'Revenue Model'!$B$106,0)</f>
        <v>864.4088</v>
      </c>
      <c r="K16" s="12" t="s">
        <v>335</v>
      </c>
    </row>
    <row r="17" customFormat="false" ht="15" hidden="false" customHeight="true" outlineLevel="0" collapsed="false">
      <c r="A17" s="13" t="s">
        <v>330</v>
      </c>
      <c r="B17" s="26" t="n">
        <v>14.2952129375</v>
      </c>
      <c r="C17" s="26" t="n">
        <v>11.627659714</v>
      </c>
      <c r="D17" s="26" t="n">
        <v>6.898936253</v>
      </c>
      <c r="E17" s="27" t="n">
        <v>6.898936253</v>
      </c>
      <c r="F17" s="27" t="n">
        <v>6.898936253</v>
      </c>
      <c r="G17" s="27" t="n">
        <v>6.898936253</v>
      </c>
      <c r="H17" s="27" t="n">
        <v>6.898936253</v>
      </c>
      <c r="I17" s="27" t="n">
        <v>6.898936253</v>
      </c>
    </row>
    <row r="18" customFormat="false" ht="15" hidden="false" customHeight="true" outlineLevel="0" collapsed="false">
      <c r="A18" s="13" t="s">
        <v>336</v>
      </c>
      <c r="B18" s="26" t="n">
        <v>158.595746584</v>
      </c>
      <c r="C18" s="26" t="n">
        <v>302.6595781</v>
      </c>
      <c r="D18" s="26" t="n">
        <v>408.904260226</v>
      </c>
      <c r="E18" s="61" t="n">
        <f aca="false">'Cash Flow Statement'!E52</f>
        <v>1356.68493423388</v>
      </c>
      <c r="F18" s="61" t="n">
        <f aca="false">'Cash Flow Statement'!F52</f>
        <v>1168.16451285283</v>
      </c>
      <c r="G18" s="61" t="n">
        <f aca="false">'Cash Flow Statement'!G52</f>
        <v>1096.65979207825</v>
      </c>
      <c r="H18" s="61" t="n">
        <f aca="false">'Cash Flow Statement'!H52</f>
        <v>914.242002153626</v>
      </c>
      <c r="I18" s="61" t="n">
        <f aca="false">'Cash Flow Statement'!I52</f>
        <v>761.666198773623</v>
      </c>
      <c r="K18" s="12" t="s">
        <v>337</v>
      </c>
    </row>
    <row r="19" customFormat="false" ht="15" hidden="false" customHeight="true" outlineLevel="0" collapsed="false">
      <c r="A19" s="19" t="s">
        <v>338</v>
      </c>
      <c r="B19" s="35" t="n">
        <f aca="false">SUM(B15:B18)</f>
        <v>1703.436190654</v>
      </c>
      <c r="C19" s="35" t="n">
        <f aca="false">SUM(C15:C18)</f>
        <v>2110.9973657575</v>
      </c>
      <c r="D19" s="35" t="n">
        <f aca="false">SUM(D15:D18)</f>
        <v>2133.686195817</v>
      </c>
      <c r="E19" s="36" t="n">
        <f aca="false">SUM(E15:E18)</f>
        <v>3072.47792087662</v>
      </c>
      <c r="F19" s="36" t="n">
        <f aca="false">SUM(F15:F18)</f>
        <v>3083.55307698338</v>
      </c>
      <c r="G19" s="36" t="n">
        <f aca="false">SUM(G15:G18)</f>
        <v>3184.07279975921</v>
      </c>
      <c r="H19" s="36" t="n">
        <f aca="false">SUM(H15:H18)</f>
        <v>3103.37424131498</v>
      </c>
      <c r="I19" s="36" t="n">
        <f aca="false">SUM(I15:I18)</f>
        <v>2970.01937317938</v>
      </c>
    </row>
    <row r="20" customFormat="false" ht="15" hidden="false" customHeight="true" outlineLevel="0" collapsed="false">
      <c r="A20" s="78" t="s">
        <v>339</v>
      </c>
      <c r="B20" s="79" t="n">
        <f aca="false">B13+B19</f>
        <v>6791.3857197945</v>
      </c>
      <c r="C20" s="79" t="n">
        <f aca="false">C13+C19</f>
        <v>7109.978808724</v>
      </c>
      <c r="D20" s="79" t="n">
        <f aca="false">D13+D19</f>
        <v>6976.781998615</v>
      </c>
      <c r="E20" s="80" t="n">
        <f aca="false">E13+E19</f>
        <v>9713.70880776144</v>
      </c>
      <c r="F20" s="80" t="n">
        <f aca="false">F13+F19</f>
        <v>9546.12738128836</v>
      </c>
      <c r="G20" s="80" t="n">
        <f aca="false">G13+G19</f>
        <v>9476.24552148435</v>
      </c>
      <c r="H20" s="80" t="n">
        <f aca="false">H13+H19</f>
        <v>9222.79288046028</v>
      </c>
      <c r="I20" s="80" t="n">
        <f aca="false">I13+I19</f>
        <v>8913.92642974484</v>
      </c>
    </row>
    <row r="22" customFormat="false" ht="15" hidden="false" customHeight="true" outlineLevel="0" collapsed="false">
      <c r="A22" s="6" t="s">
        <v>340</v>
      </c>
      <c r="B22" s="7"/>
      <c r="C22" s="7"/>
      <c r="D22" s="7"/>
      <c r="E22" s="7"/>
      <c r="F22" s="7"/>
      <c r="G22" s="7"/>
      <c r="H22" s="7"/>
      <c r="I22" s="7"/>
      <c r="K22" s="7"/>
    </row>
    <row r="23" customFormat="false" ht="15" hidden="false" customHeight="true" outlineLevel="0" collapsed="false">
      <c r="A23" s="13" t="s">
        <v>341</v>
      </c>
      <c r="B23" s="26" t="n">
        <v>377.659579</v>
      </c>
      <c r="C23" s="26" t="n">
        <v>377.659579</v>
      </c>
      <c r="D23" s="26" t="n">
        <v>377.659579</v>
      </c>
      <c r="E23" s="27" t="n">
        <v>377.659579</v>
      </c>
      <c r="F23" s="27" t="n">
        <v>377.659579</v>
      </c>
      <c r="G23" s="27" t="n">
        <v>377.659579</v>
      </c>
      <c r="H23" s="27" t="n">
        <v>377.659579</v>
      </c>
      <c r="I23" s="27" t="n">
        <v>377.659579</v>
      </c>
      <c r="K23" s="12" t="s">
        <v>342</v>
      </c>
    </row>
    <row r="24" customFormat="false" ht="15" hidden="false" customHeight="true" outlineLevel="0" collapsed="false">
      <c r="A24" s="13" t="s">
        <v>343</v>
      </c>
      <c r="B24" s="26" t="n">
        <v>-12.2101065295</v>
      </c>
      <c r="C24" s="26" t="n">
        <v>-13.1356384555</v>
      </c>
      <c r="D24" s="26" t="n">
        <v>-10.5877660845</v>
      </c>
      <c r="E24" s="27" t="n">
        <v>-10.5877660845</v>
      </c>
      <c r="F24" s="27" t="n">
        <v>-10.5877660845</v>
      </c>
      <c r="G24" s="27" t="n">
        <v>-10.5877660845</v>
      </c>
      <c r="H24" s="27" t="n">
        <v>-10.5877660845</v>
      </c>
      <c r="I24" s="27" t="n">
        <v>-10.5877660845</v>
      </c>
    </row>
    <row r="25" customFormat="false" ht="15" hidden="false" customHeight="true" outlineLevel="0" collapsed="false">
      <c r="A25" s="13" t="s">
        <v>344</v>
      </c>
      <c r="B25" s="26" t="n">
        <v>188.8297895</v>
      </c>
      <c r="C25" s="26" t="n">
        <v>188.8297895</v>
      </c>
      <c r="D25" s="26" t="n">
        <v>188.8297895</v>
      </c>
      <c r="E25" s="27" t="n">
        <v>188.8297895</v>
      </c>
      <c r="F25" s="27" t="n">
        <v>188.8297895</v>
      </c>
      <c r="G25" s="27" t="n">
        <v>188.8297895</v>
      </c>
      <c r="H25" s="27" t="n">
        <v>188.8297895</v>
      </c>
      <c r="I25" s="27" t="n">
        <v>188.8297895</v>
      </c>
    </row>
    <row r="26" customFormat="false" ht="15" hidden="false" customHeight="true" outlineLevel="0" collapsed="false">
      <c r="A26" s="13" t="s">
        <v>345</v>
      </c>
      <c r="B26" s="26" t="n">
        <v>0.6622340505</v>
      </c>
      <c r="C26" s="26" t="n">
        <v>0.6622340505</v>
      </c>
      <c r="D26" s="26" t="n">
        <v>0.6622340505</v>
      </c>
      <c r="E26" s="27" t="n">
        <v>0.6622340505</v>
      </c>
      <c r="F26" s="27" t="n">
        <v>0.6622340505</v>
      </c>
      <c r="G26" s="27" t="n">
        <v>0.6622340505</v>
      </c>
      <c r="H26" s="27" t="n">
        <v>0.6622340505</v>
      </c>
      <c r="I26" s="27" t="n">
        <v>0.6622340505</v>
      </c>
    </row>
    <row r="27" customFormat="false" ht="15" hidden="false" customHeight="true" outlineLevel="0" collapsed="false">
      <c r="A27" s="13" t="s">
        <v>346</v>
      </c>
      <c r="B27" s="26" t="n">
        <v>36.9707451245</v>
      </c>
      <c r="C27" s="26" t="n">
        <v>33.994681259</v>
      </c>
      <c r="D27" s="26" t="n">
        <v>19.297872572</v>
      </c>
      <c r="E27" s="27" t="n">
        <v>19.297872572</v>
      </c>
      <c r="F27" s="27" t="n">
        <v>19.297872572</v>
      </c>
      <c r="G27" s="27" t="n">
        <v>19.297872572</v>
      </c>
      <c r="H27" s="27" t="n">
        <v>19.297872572</v>
      </c>
      <c r="I27" s="27" t="n">
        <v>19.297872572</v>
      </c>
    </row>
    <row r="28" customFormat="false" ht="15" hidden="false" customHeight="true" outlineLevel="0" collapsed="false">
      <c r="A28" s="13" t="s">
        <v>347</v>
      </c>
      <c r="B28" s="26" t="n">
        <v>4166.6835606385</v>
      </c>
      <c r="C28" s="26" t="n">
        <v>4528.8537777505</v>
      </c>
      <c r="D28" s="26" t="n">
        <v>4968.3856979185</v>
      </c>
      <c r="E28" s="61" t="n">
        <f aca="false">D28+'Income Statement'!E47+'Cash Flow Statement'!E42</f>
        <v>5363.15933013032</v>
      </c>
      <c r="F28" s="61" t="n">
        <f aca="false">E28+'Income Statement'!F47+'Cash Flow Statement'!F42</f>
        <v>6010.68470426034</v>
      </c>
      <c r="G28" s="61" t="n">
        <f aca="false">F28+'Income Statement'!G47+'Cash Flow Statement'!G42</f>
        <v>6539.39316556978</v>
      </c>
      <c r="H28" s="61" t="n">
        <f aca="false">G28+'Income Statement'!H47+'Cash Flow Statement'!H42</f>
        <v>6894.92689205463</v>
      </c>
      <c r="I28" s="61" t="n">
        <f aca="false">H28+'Income Statement'!I47+'Cash Flow Statement'!I42</f>
        <v>7225.31087304627</v>
      </c>
      <c r="K28" s="12" t="s">
        <v>348</v>
      </c>
    </row>
    <row r="29" customFormat="false" ht="15" hidden="false" customHeight="true" outlineLevel="0" collapsed="false">
      <c r="A29" s="19" t="s">
        <v>349</v>
      </c>
      <c r="B29" s="35" t="n">
        <f aca="false">SUM(B23:B28)</f>
        <v>4758.595801784</v>
      </c>
      <c r="C29" s="35" t="n">
        <f aca="false">SUM(C23:C28)</f>
        <v>5116.8644231045</v>
      </c>
      <c r="D29" s="35" t="n">
        <f aca="false">SUM(D23:D28)</f>
        <v>5544.2474069565</v>
      </c>
      <c r="E29" s="36" t="n">
        <f aca="false">SUM(E23:E28)</f>
        <v>5939.02103916832</v>
      </c>
      <c r="F29" s="36" t="n">
        <f aca="false">SUM(F23:F28)</f>
        <v>6586.54641329834</v>
      </c>
      <c r="G29" s="36" t="n">
        <f aca="false">SUM(G23:G28)</f>
        <v>7115.25487460778</v>
      </c>
      <c r="H29" s="36" t="n">
        <f aca="false">SUM(H23:H28)</f>
        <v>7470.78860109263</v>
      </c>
      <c r="I29" s="36" t="n">
        <f aca="false">SUM(I23:I28)</f>
        <v>7801.17258208427</v>
      </c>
    </row>
    <row r="30" customFormat="false" ht="15" hidden="false" customHeight="true" outlineLevel="0" collapsed="false">
      <c r="A30" s="13" t="s">
        <v>350</v>
      </c>
      <c r="B30" s="26" t="n">
        <v>0</v>
      </c>
      <c r="C30" s="26" t="n">
        <v>0</v>
      </c>
      <c r="D30" s="26" t="n">
        <v>2.526595775</v>
      </c>
      <c r="E30" s="61" t="n">
        <f aca="false">D30+'Income Statement'!E46+IF('Revenue Model'!E89=1,'Revenue Model'!$B$110,0)</f>
        <v>119.526595775</v>
      </c>
      <c r="F30" s="61" t="n">
        <f aca="false">E30+'Income Statement'!F46+IF('Revenue Model'!F89=1,'Revenue Model'!$B$110,0)</f>
        <v>126.693395775</v>
      </c>
      <c r="G30" s="61" t="n">
        <f aca="false">F30+'Income Statement'!G46+IF('Revenue Model'!G89=1,'Revenue Model'!$B$110,0)</f>
        <v>130.548145775</v>
      </c>
      <c r="H30" s="61" t="n">
        <f aca="false">G30+'Income Statement'!H46+IF('Revenue Model'!H89=1,'Revenue Model'!$B$110,0)</f>
        <v>132.747945775</v>
      </c>
      <c r="I30" s="61" t="n">
        <f aca="false">H30+'Income Statement'!I46+IF('Revenue Model'!I89=1,'Revenue Model'!$B$110,0)</f>
        <v>134.120270775</v>
      </c>
    </row>
    <row r="31" customFormat="false" ht="15" hidden="false" customHeight="true" outlineLevel="0" collapsed="false">
      <c r="A31" s="78" t="s">
        <v>351</v>
      </c>
      <c r="B31" s="79" t="n">
        <f aca="false">B29+B30</f>
        <v>4758.595801784</v>
      </c>
      <c r="C31" s="79" t="n">
        <f aca="false">C29+C30</f>
        <v>5116.8644231045</v>
      </c>
      <c r="D31" s="79" t="n">
        <f aca="false">D29+D30</f>
        <v>5546.7740027315</v>
      </c>
      <c r="E31" s="80" t="n">
        <f aca="false">E29+E30</f>
        <v>6058.54763494332</v>
      </c>
      <c r="F31" s="80" t="n">
        <f aca="false">F29+F30</f>
        <v>6713.23980907334</v>
      </c>
      <c r="G31" s="80" t="n">
        <f aca="false">G29+G30</f>
        <v>7245.80302038278</v>
      </c>
      <c r="H31" s="80" t="n">
        <f aca="false">H29+H30</f>
        <v>7603.53654686763</v>
      </c>
      <c r="I31" s="80" t="n">
        <f aca="false">I29+I30</f>
        <v>7935.29285285927</v>
      </c>
    </row>
    <row r="33" customFormat="false" ht="15" hidden="false" customHeight="true" outlineLevel="0" collapsed="false">
      <c r="A33" s="6" t="s">
        <v>352</v>
      </c>
      <c r="B33" s="7"/>
      <c r="C33" s="7"/>
      <c r="D33" s="7"/>
      <c r="E33" s="7"/>
      <c r="F33" s="7"/>
      <c r="G33" s="7"/>
      <c r="H33" s="7"/>
      <c r="I33" s="7"/>
      <c r="K33" s="7"/>
    </row>
    <row r="34" customFormat="false" ht="15" hidden="false" customHeight="true" outlineLevel="0" collapsed="false">
      <c r="A34" s="19" t="s">
        <v>353</v>
      </c>
    </row>
    <row r="35" customFormat="false" ht="15" hidden="false" customHeight="true" outlineLevel="0" collapsed="false">
      <c r="A35" s="13" t="s">
        <v>354</v>
      </c>
      <c r="B35" s="26" t="n">
        <v>1019.106395208</v>
      </c>
      <c r="C35" s="26" t="n">
        <v>902.76596828</v>
      </c>
      <c r="D35" s="26" t="n">
        <v>774.101073119</v>
      </c>
      <c r="E35" s="27" t="n">
        <f aca="false">E71-E72</f>
        <v>2290.914905292</v>
      </c>
      <c r="F35" s="27" t="n">
        <f aca="false">F71-F72</f>
        <v>1640.914905292</v>
      </c>
      <c r="G35" s="27" t="n">
        <f aca="false">G71-G72</f>
        <v>990.914905292</v>
      </c>
      <c r="H35" s="27" t="n">
        <f aca="false">H71-H72</f>
        <v>340.914905292</v>
      </c>
      <c r="I35" s="27" t="n">
        <f aca="false">I71-I72</f>
        <v>0</v>
      </c>
    </row>
    <row r="36" customFormat="false" ht="15" hidden="false" customHeight="true" outlineLevel="0" collapsed="false">
      <c r="A36" s="13" t="s">
        <v>355</v>
      </c>
      <c r="B36" s="26" t="n">
        <v>20.2313832215</v>
      </c>
      <c r="C36" s="26" t="n">
        <v>18.074468302</v>
      </c>
      <c r="D36" s="26" t="n">
        <v>29.7101067395</v>
      </c>
      <c r="E36" s="27" t="n">
        <f aca="false">MAX(D36-2,0)</f>
        <v>27.7101067395</v>
      </c>
      <c r="F36" s="27" t="n">
        <f aca="false">MAX(E36-2,0)</f>
        <v>25.7101067395</v>
      </c>
      <c r="G36" s="27" t="n">
        <f aca="false">MAX(F36-2,0)</f>
        <v>23.7101067395</v>
      </c>
      <c r="H36" s="27" t="n">
        <f aca="false">MAX(G36-2,0)</f>
        <v>21.7101067395</v>
      </c>
      <c r="I36" s="27" t="n">
        <f aca="false">MAX(H36-2,0)</f>
        <v>19.7101067395</v>
      </c>
    </row>
    <row r="37" customFormat="false" ht="15" hidden="false" customHeight="true" outlineLevel="0" collapsed="false">
      <c r="A37" s="13" t="s">
        <v>356</v>
      </c>
      <c r="B37" s="26" t="n">
        <v>4.3696809035</v>
      </c>
      <c r="C37" s="26" t="n">
        <v>2.9601064185</v>
      </c>
      <c r="D37" s="26" t="n">
        <v>3.574468128</v>
      </c>
      <c r="E37" s="27" t="n">
        <v>3.574468128</v>
      </c>
      <c r="F37" s="27" t="n">
        <v>3.574468128</v>
      </c>
      <c r="G37" s="27" t="n">
        <v>3.574468128</v>
      </c>
      <c r="H37" s="27" t="n">
        <v>3.574468128</v>
      </c>
      <c r="I37" s="27" t="n">
        <v>3.574468128</v>
      </c>
    </row>
    <row r="38" customFormat="false" ht="15" hidden="false" customHeight="true" outlineLevel="0" collapsed="false">
      <c r="A38" s="19" t="s">
        <v>357</v>
      </c>
      <c r="B38" s="35" t="n">
        <f aca="false">SUM(B35:B37)</f>
        <v>1043.707459333</v>
      </c>
      <c r="C38" s="35" t="n">
        <f aca="false">SUM(C35:C37)</f>
        <v>923.8005430005</v>
      </c>
      <c r="D38" s="35" t="n">
        <f aca="false">SUM(D35:D37)</f>
        <v>807.3856479865</v>
      </c>
      <c r="E38" s="36" t="n">
        <f aca="false">SUM(E35:E37)</f>
        <v>2322.1994801595</v>
      </c>
      <c r="F38" s="36" t="n">
        <f aca="false">SUM(F35:F37)</f>
        <v>1670.1994801595</v>
      </c>
      <c r="G38" s="36" t="n">
        <f aca="false">SUM(G35:G37)</f>
        <v>1018.1994801595</v>
      </c>
      <c r="H38" s="36" t="n">
        <f aca="false">SUM(H35:H37)</f>
        <v>366.1994801595</v>
      </c>
      <c r="I38" s="36" t="n">
        <f aca="false">SUM(I35:I37)</f>
        <v>23.2845748675</v>
      </c>
    </row>
    <row r="39" customFormat="false" ht="15" hidden="false" customHeight="true" outlineLevel="0" collapsed="false">
      <c r="A39" s="19" t="s">
        <v>358</v>
      </c>
    </row>
    <row r="40" customFormat="false" ht="15" hidden="false" customHeight="true" outlineLevel="0" collapsed="false">
      <c r="A40" s="13" t="s">
        <v>354</v>
      </c>
      <c r="B40" s="26" t="n">
        <v>538.973410723</v>
      </c>
      <c r="C40" s="26" t="n">
        <v>503.2154315705</v>
      </c>
      <c r="D40" s="26" t="n">
        <v>198.813832173</v>
      </c>
      <c r="E40" s="27" t="n">
        <f aca="false">E72</f>
        <v>825</v>
      </c>
      <c r="F40" s="27" t="n">
        <f aca="false">F72</f>
        <v>650</v>
      </c>
      <c r="G40" s="27" t="n">
        <f aca="false">G72</f>
        <v>650</v>
      </c>
      <c r="H40" s="27" t="n">
        <f aca="false">H72</f>
        <v>650</v>
      </c>
      <c r="I40" s="27" t="n">
        <f aca="false">I72</f>
        <v>340.914905292</v>
      </c>
    </row>
    <row r="41" customFormat="false" ht="15" hidden="false" customHeight="true" outlineLevel="0" collapsed="false">
      <c r="A41" s="13" t="s">
        <v>355</v>
      </c>
      <c r="B41" s="26" t="n">
        <v>2.404255348</v>
      </c>
      <c r="C41" s="26" t="n">
        <v>2.707446841</v>
      </c>
      <c r="D41" s="26" t="n">
        <v>5.6675532595</v>
      </c>
      <c r="E41" s="27" t="n">
        <v>5.6675532595</v>
      </c>
      <c r="F41" s="27" t="n">
        <v>5.6675532595</v>
      </c>
      <c r="G41" s="27" t="n">
        <v>5.6675532595</v>
      </c>
      <c r="H41" s="27" t="n">
        <v>5.6675532595</v>
      </c>
      <c r="I41" s="27" t="n">
        <v>5.6675532595</v>
      </c>
    </row>
    <row r="42" customFormat="false" ht="15" hidden="false" customHeight="true" outlineLevel="0" collapsed="false">
      <c r="A42" s="13" t="s">
        <v>275</v>
      </c>
      <c r="B42" s="26" t="n">
        <v>444.7579840605</v>
      </c>
      <c r="C42" s="26" t="n">
        <v>563.3909642075</v>
      </c>
      <c r="D42" s="26" t="n">
        <v>417.122345431</v>
      </c>
      <c r="E42" s="61" t="n">
        <f aca="false">E82*'Revenue Model'!E139-IF('Revenue Model'!E89=1,'Revenue Model'!$B$107,0)</f>
        <v>501.27552236562</v>
      </c>
      <c r="F42" s="61" t="n">
        <f aca="false">F82*'Revenue Model'!F139-IF('Revenue Model'!F89=1,'Revenue Model'!$B$107,0)</f>
        <v>506.001921762521</v>
      </c>
      <c r="G42" s="61" t="n">
        <f aca="false">G82*'Revenue Model'!G139-IF('Revenue Model'!G89=1,'Revenue Model'!$B$107,0)</f>
        <v>555.556850649073</v>
      </c>
      <c r="H42" s="61" t="n">
        <f aca="false">H82*'Revenue Model'!H139-IF('Revenue Model'!H89=1,'Revenue Model'!$B$107,0)</f>
        <v>596.370683140162</v>
      </c>
      <c r="I42" s="61" t="n">
        <f aca="false">I82*'Revenue Model'!I139-IF('Revenue Model'!I89=1,'Revenue Model'!$B$107,0)</f>
        <v>607.74792643307</v>
      </c>
      <c r="K42" s="12" t="s">
        <v>359</v>
      </c>
    </row>
    <row r="43" customFormat="false" ht="15" hidden="false" customHeight="true" outlineLevel="0" collapsed="false">
      <c r="A43" s="13" t="s">
        <v>330</v>
      </c>
      <c r="B43" s="26" t="n">
        <v>2.946808546</v>
      </c>
      <c r="C43" s="26" t="n">
        <v>0</v>
      </c>
      <c r="D43" s="26" t="n">
        <v>1.0186170335</v>
      </c>
      <c r="E43" s="27" t="n">
        <v>1.0186170335</v>
      </c>
      <c r="F43" s="27" t="n">
        <v>1.0186170335</v>
      </c>
      <c r="G43" s="27" t="n">
        <v>1.0186170335</v>
      </c>
      <c r="H43" s="27" t="n">
        <v>1.0186170335</v>
      </c>
      <c r="I43" s="27" t="n">
        <v>1.0186170335</v>
      </c>
    </row>
    <row r="44" customFormat="false" ht="15" hidden="false" customHeight="true" outlineLevel="0" collapsed="false">
      <c r="A44" s="19" t="s">
        <v>360</v>
      </c>
      <c r="B44" s="35" t="n">
        <f aca="false">SUM(B40:B43)</f>
        <v>989.0824586775</v>
      </c>
      <c r="C44" s="35" t="n">
        <f aca="false">SUM(C40:C43)</f>
        <v>1069.313842619</v>
      </c>
      <c r="D44" s="35" t="n">
        <f aca="false">SUM(D40:D43)</f>
        <v>622.622347897</v>
      </c>
      <c r="E44" s="36" t="n">
        <f aca="false">SUM(E40:E43)</f>
        <v>1332.96169265862</v>
      </c>
      <c r="F44" s="36" t="n">
        <f aca="false">SUM(F40:F43)</f>
        <v>1162.68809205552</v>
      </c>
      <c r="G44" s="36" t="n">
        <f aca="false">SUM(G40:G43)</f>
        <v>1212.24302094207</v>
      </c>
      <c r="H44" s="36" t="n">
        <f aca="false">SUM(H40:H43)</f>
        <v>1253.05685343316</v>
      </c>
      <c r="I44" s="36" t="n">
        <f aca="false">SUM(I40:I43)</f>
        <v>955.34900201807</v>
      </c>
    </row>
    <row r="45" customFormat="false" ht="15" hidden="false" customHeight="true" outlineLevel="0" collapsed="false">
      <c r="A45" s="19" t="s">
        <v>361</v>
      </c>
      <c r="B45" s="35" t="n">
        <f aca="false">B38+B44</f>
        <v>2032.7899180105</v>
      </c>
      <c r="C45" s="35" t="n">
        <f aca="false">C38+C44</f>
        <v>1993.1143856195</v>
      </c>
      <c r="D45" s="35" t="n">
        <f aca="false">D38+D44</f>
        <v>1430.0079958835</v>
      </c>
      <c r="E45" s="36" t="n">
        <f aca="false">E38+E44</f>
        <v>3655.16117281812</v>
      </c>
      <c r="F45" s="36" t="n">
        <f aca="false">F38+F44</f>
        <v>2832.88757221502</v>
      </c>
      <c r="G45" s="36" t="n">
        <f aca="false">G38+G44</f>
        <v>2230.44250110157</v>
      </c>
      <c r="H45" s="36" t="n">
        <f aca="false">H38+H44</f>
        <v>1619.25633359266</v>
      </c>
      <c r="I45" s="36" t="n">
        <f aca="false">I38+I44</f>
        <v>978.63357688557</v>
      </c>
    </row>
    <row r="46" customFormat="false" ht="15" hidden="false" customHeight="true" outlineLevel="0" collapsed="false">
      <c r="A46" s="19" t="s">
        <v>362</v>
      </c>
      <c r="B46" s="35" t="n">
        <f aca="false">B45+B31</f>
        <v>6791.3857197945</v>
      </c>
      <c r="C46" s="35" t="n">
        <f aca="false">C45+C31</f>
        <v>7109.978808724</v>
      </c>
      <c r="D46" s="35" t="n">
        <f aca="false">D45+D31</f>
        <v>6976.781998615</v>
      </c>
      <c r="E46" s="36" t="n">
        <f aca="false">E45+E31</f>
        <v>9713.70880776144</v>
      </c>
      <c r="F46" s="36" t="n">
        <f aca="false">F45+F31</f>
        <v>9546.12738128836</v>
      </c>
      <c r="G46" s="36" t="n">
        <f aca="false">G45+G31</f>
        <v>9476.24552148436</v>
      </c>
      <c r="H46" s="36" t="n">
        <f aca="false">H45+H31</f>
        <v>9222.79288046029</v>
      </c>
      <c r="I46" s="36" t="n">
        <f aca="false">I45+I31</f>
        <v>8913.92642974484</v>
      </c>
    </row>
    <row r="47" customFormat="false" ht="15" hidden="false" customHeight="true" outlineLevel="0" collapsed="false">
      <c r="A47" s="86" t="s">
        <v>363</v>
      </c>
      <c r="B47" s="87" t="n">
        <f aca="false">ROUND(B20-B46,6)</f>
        <v>0</v>
      </c>
      <c r="C47" s="87" t="n">
        <f aca="false">ROUND(C20-C46,6)</f>
        <v>0</v>
      </c>
      <c r="D47" s="87" t="n">
        <f aca="false">ROUND(D20-D46,6)</f>
        <v>0</v>
      </c>
      <c r="E47" s="88" t="n">
        <f aca="false">ROUND(E20-E46,6)</f>
        <v>0</v>
      </c>
      <c r="F47" s="88" t="n">
        <f aca="false">ROUND(F20-F46,6)</f>
        <v>0</v>
      </c>
      <c r="G47" s="88" t="n">
        <f aca="false">ROUND(G20-G46,6)</f>
        <v>0</v>
      </c>
      <c r="H47" s="88" t="n">
        <f aca="false">ROUND(H20-H46,6)</f>
        <v>0</v>
      </c>
      <c r="I47" s="88" t="n">
        <f aca="false">ROUND(I20-I46,6)</f>
        <v>0</v>
      </c>
    </row>
    <row r="48" customFormat="false" ht="15" hidden="false" customHeight="true" outlineLevel="0" collapsed="false">
      <c r="A48" s="28" t="s">
        <v>364</v>
      </c>
      <c r="B48" s="89" t="str">
        <f aca="false">IF(ABS(B47)&lt;0.05,"BALANCED","ERROR")</f>
        <v>BALANCED</v>
      </c>
      <c r="C48" s="89" t="str">
        <f aca="false">IF(ABS(C47)&lt;0.05,"BALANCED","ERROR")</f>
        <v>BALANCED</v>
      </c>
      <c r="D48" s="89" t="str">
        <f aca="false">IF(ABS(D47)&lt;0.05,"BALANCED","ERROR")</f>
        <v>BALANCED</v>
      </c>
      <c r="E48" s="90" t="str">
        <f aca="false">IF(ABS(E47)&lt;0.05,"BALANCED","ERROR")</f>
        <v>BALANCED</v>
      </c>
      <c r="F48" s="90" t="str">
        <f aca="false">IF(ABS(F47)&lt;0.05,"BALANCED","ERROR")</f>
        <v>BALANCED</v>
      </c>
      <c r="G48" s="90" t="str">
        <f aca="false">IF(ABS(G47)&lt;0.05,"BALANCED","ERROR")</f>
        <v>BALANCED</v>
      </c>
      <c r="H48" s="90" t="str">
        <f aca="false">IF(ABS(H47)&lt;0.05,"BALANCED","ERROR")</f>
        <v>BALANCED</v>
      </c>
      <c r="I48" s="90" t="str">
        <f aca="false">IF(ABS(I47)&lt;0.05,"BALANCED","ERROR")</f>
        <v>BALANCED</v>
      </c>
    </row>
    <row r="50" customFormat="false" ht="15" hidden="false" customHeight="true" outlineLevel="0" collapsed="false">
      <c r="A50" s="6" t="s">
        <v>365</v>
      </c>
      <c r="B50" s="7"/>
      <c r="C50" s="7"/>
      <c r="D50" s="7"/>
      <c r="E50" s="7"/>
      <c r="F50" s="7"/>
      <c r="G50" s="7"/>
      <c r="H50" s="7"/>
      <c r="I50" s="7"/>
      <c r="K50" s="7"/>
    </row>
    <row r="51" customFormat="false" ht="15" hidden="false" customHeight="true" outlineLevel="0" collapsed="false">
      <c r="A51" s="9" t="s">
        <v>366</v>
      </c>
      <c r="C51" s="26" t="n">
        <v>9941.196927805</v>
      </c>
      <c r="D51" s="26" t="n">
        <v>10177.032037018</v>
      </c>
      <c r="E51" s="27" t="n">
        <f aca="false">D55</f>
        <v>10306.4176768685</v>
      </c>
      <c r="F51" s="27" t="n">
        <f aca="false">E55</f>
        <v>10526.4176768685</v>
      </c>
      <c r="G51" s="27" t="n">
        <f aca="false">F55</f>
        <v>10806.4176768685</v>
      </c>
      <c r="H51" s="27" t="n">
        <f aca="false">G55</f>
        <v>11106.4176768685</v>
      </c>
      <c r="I51" s="27" t="n">
        <f aca="false">H55</f>
        <v>11416.4176768685</v>
      </c>
    </row>
    <row r="52" customFormat="false" ht="15" hidden="false" customHeight="true" outlineLevel="0" collapsed="false">
      <c r="A52" s="13" t="s">
        <v>367</v>
      </c>
      <c r="B52" s="37" t="n">
        <v>352.4654297615</v>
      </c>
      <c r="C52" s="37" t="n">
        <v>276.585109702</v>
      </c>
      <c r="D52" s="37" t="n">
        <v>285.9547906655</v>
      </c>
      <c r="E52" s="38" t="n">
        <v>220</v>
      </c>
      <c r="F52" s="38" t="n">
        <v>280</v>
      </c>
      <c r="G52" s="38" t="n">
        <v>300</v>
      </c>
      <c r="H52" s="38" t="n">
        <v>310</v>
      </c>
      <c r="I52" s="38" t="n">
        <v>320</v>
      </c>
      <c r="K52" s="12" t="s">
        <v>368</v>
      </c>
    </row>
    <row r="53" customFormat="false" ht="15" hidden="false" customHeight="true" outlineLevel="0" collapsed="false">
      <c r="A53" s="13" t="s">
        <v>369</v>
      </c>
      <c r="B53" s="26" t="n">
        <v>0</v>
      </c>
      <c r="C53" s="26" t="n">
        <v>0</v>
      </c>
      <c r="D53" s="26" t="n">
        <v>0</v>
      </c>
      <c r="E53" s="27" t="n">
        <f aca="false">IF('Revenue Model'!E89=1,'Revenue Model'!$B$104,0)+'Revenue Model'!E101</f>
        <v>1300</v>
      </c>
      <c r="F53" s="27" t="n">
        <f aca="false">IF('Revenue Model'!F89=1,'Revenue Model'!$B$104,0)+'Revenue Model'!F101</f>
        <v>60</v>
      </c>
      <c r="G53" s="27" t="n">
        <f aca="false">IF('Revenue Model'!G89=1,'Revenue Model'!$B$104,0)+'Revenue Model'!G101</f>
        <v>60</v>
      </c>
      <c r="H53" s="27" t="n">
        <f aca="false">IF('Revenue Model'!H89=1,'Revenue Model'!$B$104,0)+'Revenue Model'!H101</f>
        <v>60</v>
      </c>
      <c r="I53" s="27" t="n">
        <f aca="false">IF('Revenue Model'!I89=1,'Revenue Model'!$B$104,0)+'Revenue Model'!I101</f>
        <v>60</v>
      </c>
    </row>
    <row r="54" customFormat="false" ht="15" hidden="false" customHeight="true" outlineLevel="0" collapsed="false">
      <c r="A54" s="13" t="s">
        <v>370</v>
      </c>
      <c r="C54" s="26" t="n">
        <v>-51.803192111</v>
      </c>
      <c r="D54" s="26" t="n">
        <v>-164.531916868</v>
      </c>
      <c r="E54" s="27" t="n">
        <v>0</v>
      </c>
      <c r="F54" s="27" t="n">
        <v>0</v>
      </c>
      <c r="G54" s="27" t="n">
        <v>0</v>
      </c>
      <c r="H54" s="27" t="n">
        <v>0</v>
      </c>
      <c r="I54" s="27" t="n">
        <v>0</v>
      </c>
    </row>
    <row r="55" customFormat="false" ht="15" hidden="false" customHeight="true" outlineLevel="0" collapsed="false">
      <c r="A55" s="19" t="s">
        <v>371</v>
      </c>
      <c r="C55" s="35" t="n">
        <v>10177.032037018</v>
      </c>
      <c r="D55" s="35" t="n">
        <v>10306.4176768685</v>
      </c>
      <c r="E55" s="36" t="n">
        <f aca="false">E51+E52+E54</f>
        <v>10526.4176768685</v>
      </c>
      <c r="F55" s="36" t="n">
        <f aca="false">F51+F52+F54</f>
        <v>10806.4176768685</v>
      </c>
      <c r="G55" s="36" t="n">
        <f aca="false">G51+G52+G54</f>
        <v>11106.4176768685</v>
      </c>
      <c r="H55" s="36" t="n">
        <f aca="false">H51+H52+H54</f>
        <v>11416.4176768685</v>
      </c>
      <c r="I55" s="36" t="n">
        <f aca="false">I51+I52+I54</f>
        <v>11736.4176768685</v>
      </c>
      <c r="K55" s="12" t="s">
        <v>372</v>
      </c>
    </row>
    <row r="56" customFormat="false" ht="15" hidden="false" customHeight="true" outlineLevel="0" collapsed="false">
      <c r="A56" s="9" t="s">
        <v>373</v>
      </c>
      <c r="B56" s="91"/>
      <c r="C56" s="91" t="n">
        <f aca="false">C57/AVERAGE(C51,C55)</f>
        <v>0.036451804717168</v>
      </c>
      <c r="D56" s="91" t="n">
        <f aca="false">D57/AVERAGE(D51,D55)</f>
        <v>0.0398736551317962</v>
      </c>
      <c r="E56" s="92" t="n">
        <v>0.0405</v>
      </c>
      <c r="F56" s="92" t="n">
        <v>0.0405</v>
      </c>
      <c r="G56" s="92" t="n">
        <v>0.0405</v>
      </c>
      <c r="H56" s="92" t="n">
        <v>0.0405</v>
      </c>
      <c r="I56" s="92" t="n">
        <v>0.0405</v>
      </c>
    </row>
    <row r="57" customFormat="false" ht="15" hidden="false" customHeight="true" outlineLevel="0" collapsed="false">
      <c r="A57" s="19" t="s">
        <v>374</v>
      </c>
      <c r="B57" s="35" t="n">
        <v>356.0771319325</v>
      </c>
      <c r="C57" s="35" t="n">
        <v>366.6728767405</v>
      </c>
      <c r="D57" s="35" t="n">
        <v>408.3750049005</v>
      </c>
      <c r="E57" s="36" t="n">
        <f aca="false">E56*AVERAGE(E51,E55)</f>
        <v>421.864915913174</v>
      </c>
      <c r="F57" s="36" t="n">
        <f aca="false">F56*AVERAGE(F51,F55)</f>
        <v>431.989915913174</v>
      </c>
      <c r="G57" s="36" t="n">
        <f aca="false">G56*AVERAGE(G51,G55)</f>
        <v>443.734915913174</v>
      </c>
      <c r="H57" s="36" t="n">
        <f aca="false">H56*AVERAGE(H51,H55)</f>
        <v>456.087415913174</v>
      </c>
      <c r="I57" s="36" t="n">
        <f aca="false">I56*AVERAGE(I51,I55)</f>
        <v>468.844915913174</v>
      </c>
    </row>
    <row r="58" customFormat="false" ht="15" hidden="false" customHeight="true" outlineLevel="0" collapsed="false">
      <c r="A58" s="78" t="s">
        <v>375</v>
      </c>
      <c r="B58" s="79" t="n">
        <v>5050.6144223095</v>
      </c>
      <c r="C58" s="79" t="n">
        <v>4962.3378255055</v>
      </c>
      <c r="D58" s="79" t="n">
        <v>4820.7473982745</v>
      </c>
      <c r="E58" s="93" t="n">
        <f aca="false">D58+E52+E53-E57-'Revenue Model'!E98</f>
        <v>5918.88248236133</v>
      </c>
      <c r="F58" s="93" t="n">
        <f aca="false">E58+F52+F53-F57-'Revenue Model'!F98</f>
        <v>5740.22589978148</v>
      </c>
      <c r="G58" s="93" t="n">
        <f aca="false">F58+G52+G53-G57-'Revenue Model'!G98</f>
        <v>5569.82431720164</v>
      </c>
      <c r="H58" s="93" t="n">
        <f aca="false">G58+H52+H53-H57-'Revenue Model'!H98</f>
        <v>5397.0702346218</v>
      </c>
      <c r="I58" s="93" t="n">
        <f aca="false">H58+I52+I53-I57-'Revenue Model'!I98</f>
        <v>5221.55865204196</v>
      </c>
    </row>
    <row r="60" customFormat="false" ht="15" hidden="false" customHeight="true" outlineLevel="0" collapsed="false">
      <c r="A60" s="6" t="s">
        <v>376</v>
      </c>
      <c r="B60" s="7"/>
      <c r="C60" s="7"/>
      <c r="D60" s="7"/>
      <c r="E60" s="7"/>
      <c r="F60" s="7"/>
      <c r="G60" s="7"/>
      <c r="H60" s="7"/>
      <c r="I60" s="7"/>
      <c r="K60" s="8" t="s">
        <v>377</v>
      </c>
    </row>
    <row r="61" customFormat="false" ht="15" hidden="false" customHeight="true" outlineLevel="0" collapsed="false">
      <c r="A61" s="9" t="s">
        <v>378</v>
      </c>
      <c r="E61" s="27" t="n">
        <f aca="false">D63</f>
        <v>897.914905292</v>
      </c>
      <c r="F61" s="27" t="n">
        <f aca="false">E63</f>
        <v>757.914905292</v>
      </c>
      <c r="G61" s="27" t="n">
        <f aca="false">F63</f>
        <v>607.914905292</v>
      </c>
      <c r="H61" s="27" t="n">
        <f aca="false">G63</f>
        <v>457.914905292</v>
      </c>
      <c r="I61" s="27" t="n">
        <f aca="false">H63</f>
        <v>307.914905292</v>
      </c>
    </row>
    <row r="62" customFormat="false" ht="15" hidden="false" customHeight="true" outlineLevel="0" collapsed="false">
      <c r="A62" s="13" t="s">
        <v>379</v>
      </c>
      <c r="E62" s="38" t="n">
        <v>-140</v>
      </c>
      <c r="F62" s="38" t="n">
        <v>-150</v>
      </c>
      <c r="G62" s="38" t="n">
        <v>-150</v>
      </c>
      <c r="H62" s="38" t="n">
        <v>-150</v>
      </c>
      <c r="I62" s="38" t="n">
        <v>-150</v>
      </c>
      <c r="K62" s="12" t="s">
        <v>380</v>
      </c>
    </row>
    <row r="63" customFormat="false" ht="15" hidden="false" customHeight="true" outlineLevel="0" collapsed="false">
      <c r="A63" s="19" t="s">
        <v>381</v>
      </c>
      <c r="D63" s="35" t="n">
        <v>897.914905292</v>
      </c>
      <c r="E63" s="36" t="n">
        <f aca="false">E61+E62</f>
        <v>757.914905292</v>
      </c>
      <c r="F63" s="36" t="n">
        <f aca="false">F61+F62</f>
        <v>607.914905292</v>
      </c>
      <c r="G63" s="36" t="n">
        <f aca="false">G61+G62</f>
        <v>457.914905292</v>
      </c>
      <c r="H63" s="36" t="n">
        <f aca="false">H61+H62</f>
        <v>307.914905292</v>
      </c>
      <c r="I63" s="36" t="n">
        <f aca="false">I61+I62</f>
        <v>157.914905292</v>
      </c>
    </row>
    <row r="64" customFormat="false" ht="15" hidden="false" customHeight="true" outlineLevel="0" collapsed="false">
      <c r="A64" s="9" t="s">
        <v>382</v>
      </c>
      <c r="E64" s="27" t="n">
        <f aca="false">D66</f>
        <v>75</v>
      </c>
      <c r="F64" s="27" t="n">
        <f aca="false">E66</f>
        <v>275</v>
      </c>
      <c r="G64" s="27" t="n">
        <f aca="false">F66</f>
        <v>0</v>
      </c>
      <c r="H64" s="27" t="n">
        <f aca="false">G66</f>
        <v>0</v>
      </c>
      <c r="I64" s="27" t="n">
        <f aca="false">H66</f>
        <v>0</v>
      </c>
    </row>
    <row r="65" customFormat="false" ht="15" hidden="false" customHeight="true" outlineLevel="0" collapsed="false">
      <c r="A65" s="13" t="s">
        <v>383</v>
      </c>
      <c r="E65" s="38" t="n">
        <v>200</v>
      </c>
      <c r="F65" s="38" t="n">
        <v>-275</v>
      </c>
      <c r="G65" s="38" t="n">
        <v>0</v>
      </c>
      <c r="H65" s="38" t="n">
        <v>0</v>
      </c>
      <c r="I65" s="38" t="n">
        <v>0</v>
      </c>
    </row>
    <row r="66" customFormat="false" ht="15" hidden="false" customHeight="true" outlineLevel="0" collapsed="false">
      <c r="A66" s="19" t="s">
        <v>384</v>
      </c>
      <c r="D66" s="35" t="n">
        <v>75</v>
      </c>
      <c r="E66" s="36" t="n">
        <f aca="false">E64+E65</f>
        <v>275</v>
      </c>
      <c r="F66" s="36" t="n">
        <f aca="false">F64+F65</f>
        <v>0</v>
      </c>
      <c r="G66" s="36" t="n">
        <f aca="false">G64+G65</f>
        <v>0</v>
      </c>
      <c r="H66" s="36" t="n">
        <f aca="false">H64+H65</f>
        <v>0</v>
      </c>
      <c r="I66" s="36" t="n">
        <f aca="false">I64+I65</f>
        <v>0</v>
      </c>
    </row>
    <row r="67" customFormat="false" ht="15" hidden="false" customHeight="true" outlineLevel="0" collapsed="false">
      <c r="A67" s="9" t="s">
        <v>385</v>
      </c>
      <c r="E67" s="27" t="n">
        <f aca="false">D70</f>
        <v>0</v>
      </c>
      <c r="F67" s="27" t="n">
        <f aca="false">E70</f>
        <v>2083</v>
      </c>
      <c r="G67" s="27" t="n">
        <f aca="false">F70</f>
        <v>1683</v>
      </c>
      <c r="H67" s="27" t="n">
        <f aca="false">G70</f>
        <v>1183</v>
      </c>
      <c r="I67" s="27" t="n">
        <f aca="false">H70</f>
        <v>683</v>
      </c>
    </row>
    <row r="68" customFormat="false" ht="15" hidden="false" customHeight="true" outlineLevel="0" collapsed="false">
      <c r="A68" s="13" t="s">
        <v>386</v>
      </c>
      <c r="E68" s="38" t="n">
        <v>2083</v>
      </c>
      <c r="F68" s="38" t="n">
        <v>0</v>
      </c>
      <c r="G68" s="38" t="n">
        <v>0</v>
      </c>
      <c r="H68" s="38" t="n">
        <v>0</v>
      </c>
      <c r="I68" s="38" t="n">
        <v>0</v>
      </c>
      <c r="K68" s="12" t="s">
        <v>387</v>
      </c>
    </row>
    <row r="69" customFormat="false" ht="15" hidden="false" customHeight="true" outlineLevel="0" collapsed="false">
      <c r="A69" s="13" t="s">
        <v>388</v>
      </c>
      <c r="E69" s="38" t="n">
        <v>0</v>
      </c>
      <c r="F69" s="38" t="n">
        <v>-400</v>
      </c>
      <c r="G69" s="38" t="n">
        <v>-500</v>
      </c>
      <c r="H69" s="38" t="n">
        <v>-500</v>
      </c>
      <c r="I69" s="38" t="n">
        <v>-500</v>
      </c>
    </row>
    <row r="70" customFormat="false" ht="15" hidden="false" customHeight="true" outlineLevel="0" collapsed="false">
      <c r="A70" s="19" t="s">
        <v>389</v>
      </c>
      <c r="D70" s="35" t="n">
        <v>0</v>
      </c>
      <c r="E70" s="36" t="n">
        <f aca="false">E67+E68+E69</f>
        <v>2083</v>
      </c>
      <c r="F70" s="36" t="n">
        <f aca="false">F67+F68+F69</f>
        <v>1683</v>
      </c>
      <c r="G70" s="36" t="n">
        <f aca="false">G67+G68+G69</f>
        <v>1183</v>
      </c>
      <c r="H70" s="36" t="n">
        <f aca="false">H67+H68+H69</f>
        <v>683</v>
      </c>
      <c r="I70" s="36" t="n">
        <f aca="false">I67+I68+I69</f>
        <v>183</v>
      </c>
    </row>
    <row r="71" customFormat="false" ht="15" hidden="false" customHeight="true" outlineLevel="0" collapsed="false">
      <c r="A71" s="19" t="s">
        <v>390</v>
      </c>
      <c r="B71" s="35" t="n">
        <v>1558.079805931</v>
      </c>
      <c r="C71" s="35" t="n">
        <v>1405.9813998505</v>
      </c>
      <c r="D71" s="35" t="n">
        <v>972.914905292</v>
      </c>
      <c r="E71" s="36" t="n">
        <f aca="false">E63+E66+E70</f>
        <v>3115.914905292</v>
      </c>
      <c r="F71" s="36" t="n">
        <f aca="false">F63+F66+F70</f>
        <v>2290.914905292</v>
      </c>
      <c r="G71" s="36" t="n">
        <f aca="false">G63+G66+G70</f>
        <v>1640.914905292</v>
      </c>
      <c r="H71" s="36" t="n">
        <f aca="false">H63+H66+H70</f>
        <v>990.914905292</v>
      </c>
      <c r="I71" s="36" t="n">
        <f aca="false">I63+I66+I70</f>
        <v>340.914905292</v>
      </c>
    </row>
    <row r="72" customFormat="false" ht="15" hidden="false" customHeight="true" outlineLevel="0" collapsed="false">
      <c r="A72" s="13" t="s">
        <v>391</v>
      </c>
      <c r="B72" s="26" t="n">
        <v>538.973410723</v>
      </c>
      <c r="C72" s="26" t="n">
        <v>503.2154315705</v>
      </c>
      <c r="D72" s="26" t="n">
        <v>198.813832173</v>
      </c>
      <c r="E72" s="27" t="n">
        <f aca="false">MIN(E71,-F62-F69+E66)</f>
        <v>825</v>
      </c>
      <c r="F72" s="27" t="n">
        <f aca="false">MIN(F71,-G62-G69+F66)</f>
        <v>650</v>
      </c>
      <c r="G72" s="27" t="n">
        <f aca="false">MIN(G71,-H62-H69+G66)</f>
        <v>650</v>
      </c>
      <c r="H72" s="27" t="n">
        <f aca="false">MIN(H71,-I62-I69+H66)</f>
        <v>650</v>
      </c>
      <c r="I72" s="27" t="n">
        <f aca="false">MIN(I71,I73+I66)</f>
        <v>340.914905292</v>
      </c>
    </row>
    <row r="73" customFormat="false" ht="15" hidden="false" customHeight="true" outlineLevel="0" collapsed="false">
      <c r="A73" s="16" t="s">
        <v>392</v>
      </c>
      <c r="I73" s="85" t="n">
        <v>650</v>
      </c>
    </row>
    <row r="74" customFormat="false" ht="15" hidden="false" customHeight="true" outlineLevel="0" collapsed="false">
      <c r="A74" s="9" t="s">
        <v>393</v>
      </c>
      <c r="E74" s="92" t="n">
        <v>0.06</v>
      </c>
      <c r="F74" s="92" t="n">
        <v>0.0575</v>
      </c>
      <c r="G74" s="92" t="n">
        <v>0.055</v>
      </c>
      <c r="H74" s="92" t="n">
        <v>0.055</v>
      </c>
      <c r="I74" s="92" t="n">
        <v>0.055</v>
      </c>
      <c r="K74" s="12" t="s">
        <v>394</v>
      </c>
    </row>
    <row r="75" customFormat="false" ht="15" hidden="false" customHeight="true" outlineLevel="0" collapsed="false">
      <c r="A75" s="9" t="s">
        <v>395</v>
      </c>
      <c r="E75" s="92" t="n">
        <v>0.06</v>
      </c>
      <c r="F75" s="92" t="n">
        <v>0.06</v>
      </c>
      <c r="G75" s="92" t="n">
        <v>0.0575</v>
      </c>
      <c r="H75" s="92" t="n">
        <v>0.055</v>
      </c>
      <c r="I75" s="92" t="n">
        <v>0.055</v>
      </c>
    </row>
    <row r="76" customFormat="false" ht="15" hidden="false" customHeight="true" outlineLevel="0" collapsed="false">
      <c r="A76" s="9" t="s">
        <v>396</v>
      </c>
      <c r="E76" s="92" t="n">
        <v>0.04</v>
      </c>
      <c r="F76" s="92" t="n">
        <v>0.04</v>
      </c>
      <c r="G76" s="92" t="n">
        <v>0.04</v>
      </c>
      <c r="H76" s="92" t="n">
        <v>0.04</v>
      </c>
      <c r="I76" s="92" t="n">
        <v>0.04</v>
      </c>
      <c r="K76" s="12" t="s">
        <v>397</v>
      </c>
    </row>
    <row r="77" customFormat="false" ht="15" hidden="false" customHeight="true" outlineLevel="0" collapsed="false">
      <c r="A77" s="94" t="s">
        <v>398</v>
      </c>
      <c r="B77" s="95" t="n">
        <v>0.35</v>
      </c>
      <c r="C77" s="41"/>
      <c r="D77" s="41"/>
      <c r="E77" s="41"/>
      <c r="F77" s="41"/>
      <c r="G77" s="41"/>
      <c r="H77" s="41"/>
      <c r="I77" s="41"/>
      <c r="K77" s="12" t="s">
        <v>399</v>
      </c>
    </row>
    <row r="79" customFormat="false" ht="15" hidden="false" customHeight="true" outlineLevel="0" collapsed="false">
      <c r="A79" s="6" t="s">
        <v>400</v>
      </c>
      <c r="B79" s="7"/>
      <c r="C79" s="7"/>
      <c r="D79" s="7"/>
      <c r="E79" s="7"/>
      <c r="F79" s="7"/>
      <c r="G79" s="7"/>
      <c r="H79" s="7"/>
      <c r="I79" s="7"/>
      <c r="K79" s="7"/>
    </row>
    <row r="80" customFormat="false" ht="15" hidden="false" customHeight="true" outlineLevel="0" collapsed="false">
      <c r="A80" s="9" t="s">
        <v>401</v>
      </c>
      <c r="B80" s="75" t="n">
        <f aca="false">B16/'Revenue Model'!B117</f>
        <v>0.146179694645018</v>
      </c>
      <c r="C80" s="75" t="n">
        <f aca="false">C16/'Revenue Model'!C117</f>
        <v>0.166674066181259</v>
      </c>
      <c r="D80" s="75" t="n">
        <f aca="false">D16/'Revenue Model'!D117</f>
        <v>0.1485845291021</v>
      </c>
      <c r="E80" s="25" t="n">
        <v>0.148</v>
      </c>
      <c r="F80" s="25" t="n">
        <v>0.148</v>
      </c>
      <c r="G80" s="25" t="n">
        <v>0.148</v>
      </c>
      <c r="H80" s="25" t="n">
        <v>0.148</v>
      </c>
      <c r="I80" s="25" t="n">
        <v>0.148</v>
      </c>
    </row>
    <row r="81" customFormat="false" ht="15" hidden="false" customHeight="true" outlineLevel="0" collapsed="false">
      <c r="A81" s="9" t="s">
        <v>402</v>
      </c>
      <c r="B81" s="75" t="n">
        <f aca="false">B15/'Revenue Model'!B139</f>
        <v>0.271072839244988</v>
      </c>
      <c r="C81" s="75" t="n">
        <f aca="false">C15/'Revenue Model'!C139</f>
        <v>0.309669556313732</v>
      </c>
      <c r="D81" s="75" t="n">
        <f aca="false">D15/'Revenue Model'!D139</f>
        <v>0.264249346865265</v>
      </c>
      <c r="E81" s="25" t="n">
        <v>0.27</v>
      </c>
      <c r="F81" s="25" t="n">
        <v>0.275</v>
      </c>
      <c r="G81" s="25" t="n">
        <v>0.275</v>
      </c>
      <c r="H81" s="25" t="n">
        <v>0.275</v>
      </c>
      <c r="I81" s="25" t="n">
        <v>0.275</v>
      </c>
    </row>
    <row r="82" customFormat="false" ht="15" hidden="false" customHeight="true" outlineLevel="0" collapsed="false">
      <c r="A82" s="9" t="s">
        <v>403</v>
      </c>
      <c r="B82" s="75" t="n">
        <f aca="false">B42/'Revenue Model'!B139</f>
        <v>0.129592992032808</v>
      </c>
      <c r="C82" s="75" t="n">
        <f aca="false">C42/'Revenue Model'!C139</f>
        <v>0.161867356412304</v>
      </c>
      <c r="D82" s="75" t="n">
        <f aca="false">D42/'Revenue Model'!D139</f>
        <v>0.108599359225143</v>
      </c>
      <c r="E82" s="25" t="n">
        <v>0.125</v>
      </c>
      <c r="F82" s="25" t="n">
        <v>0.125</v>
      </c>
      <c r="G82" s="25" t="n">
        <v>0.125</v>
      </c>
      <c r="H82" s="25" t="n">
        <v>0.125</v>
      </c>
      <c r="I82" s="25" t="n">
        <v>0.125</v>
      </c>
    </row>
    <row r="83" customFormat="false" ht="15" hidden="false" customHeight="true" outlineLevel="0" collapsed="false">
      <c r="A83" s="16" t="s">
        <v>404</v>
      </c>
      <c r="B83" s="96" t="n">
        <f aca="false">B80*365</f>
        <v>53.3555885454315</v>
      </c>
      <c r="C83" s="96" t="n">
        <f aca="false">C80*365</f>
        <v>60.8360341561594</v>
      </c>
      <c r="D83" s="96" t="n">
        <f aca="false">D80*365</f>
        <v>54.2333531222664</v>
      </c>
      <c r="E83" s="97" t="n">
        <f aca="false">E80*365</f>
        <v>54.02</v>
      </c>
      <c r="F83" s="97" t="n">
        <f aca="false">F80*365</f>
        <v>54.02</v>
      </c>
      <c r="G83" s="97" t="n">
        <f aca="false">G80*365</f>
        <v>54.02</v>
      </c>
      <c r="H83" s="97" t="n">
        <f aca="false">H80*365</f>
        <v>54.02</v>
      </c>
      <c r="I83" s="97" t="n">
        <f aca="false">I80*365</f>
        <v>54.02</v>
      </c>
      <c r="K83" s="12" t="s">
        <v>405</v>
      </c>
    </row>
    <row r="84" customFormat="false" ht="15" hidden="false" customHeight="true" outlineLevel="0" collapsed="false">
      <c r="A84" s="16" t="s">
        <v>406</v>
      </c>
      <c r="B84" s="96" t="n">
        <f aca="false">B81*365</f>
        <v>98.9415863244207</v>
      </c>
      <c r="C84" s="96" t="n">
        <f aca="false">C81*365</f>
        <v>113.029388054512</v>
      </c>
      <c r="D84" s="96" t="n">
        <f aca="false">D81*365</f>
        <v>96.4510116058217</v>
      </c>
      <c r="E84" s="97" t="n">
        <f aca="false">E81*365</f>
        <v>98.55</v>
      </c>
      <c r="F84" s="97" t="n">
        <f aca="false">F81*365</f>
        <v>100.375</v>
      </c>
      <c r="G84" s="97" t="n">
        <f aca="false">G81*365</f>
        <v>100.375</v>
      </c>
      <c r="H84" s="97" t="n">
        <f aca="false">H81*365</f>
        <v>100.375</v>
      </c>
      <c r="I84" s="97" t="n">
        <f aca="false">I81*365</f>
        <v>100.375</v>
      </c>
      <c r="K84" s="12" t="s">
        <v>407</v>
      </c>
    </row>
    <row r="85" customFormat="false" ht="15" hidden="false" customHeight="true" outlineLevel="0" collapsed="false">
      <c r="A85" s="16" t="s">
        <v>408</v>
      </c>
      <c r="B85" s="96" t="n">
        <f aca="false">B82*365</f>
        <v>47.3014420919749</v>
      </c>
      <c r="C85" s="96" t="n">
        <f aca="false">C82*365</f>
        <v>59.0815850904909</v>
      </c>
      <c r="D85" s="96" t="n">
        <f aca="false">D82*365</f>
        <v>39.6387661171772</v>
      </c>
      <c r="E85" s="97" t="n">
        <f aca="false">E82*365</f>
        <v>45.625</v>
      </c>
      <c r="F85" s="97" t="n">
        <f aca="false">F82*365</f>
        <v>45.625</v>
      </c>
      <c r="G85" s="97" t="n">
        <f aca="false">G82*365</f>
        <v>45.625</v>
      </c>
      <c r="H85" s="97" t="n">
        <f aca="false">H82*365</f>
        <v>45.625</v>
      </c>
      <c r="I85" s="97" t="n">
        <f aca="false">I82*365</f>
        <v>45.625</v>
      </c>
    </row>
    <row r="86" customFormat="false" ht="15" hidden="false" customHeight="true" outlineLevel="0" collapsed="false">
      <c r="A86" s="19" t="s">
        <v>409</v>
      </c>
      <c r="B86" s="35" t="n">
        <f aca="false">B16+B15-B42</f>
        <v>1085.787247072</v>
      </c>
      <c r="C86" s="35" t="n">
        <f aca="false">C16+C15-C42</f>
        <v>1233.319163736</v>
      </c>
      <c r="D86" s="35" t="n">
        <f aca="false">D16+D15-D42</f>
        <v>1300.760653907</v>
      </c>
      <c r="E86" s="36" t="n">
        <f aca="false">E16+E15-E42</f>
        <v>1207.61852802412</v>
      </c>
      <c r="F86" s="36" t="n">
        <f aca="false">F16+F15-F42</f>
        <v>1402.48770611502</v>
      </c>
      <c r="G86" s="36" t="n">
        <f aca="false">G16+G15-G42</f>
        <v>1524.95722077889</v>
      </c>
      <c r="H86" s="36" t="n">
        <f aca="false">H16+H15-H42</f>
        <v>1585.86261976819</v>
      </c>
      <c r="I86" s="36" t="n">
        <f aca="false">I16+I15-I42</f>
        <v>1593.70631171968</v>
      </c>
    </row>
    <row r="87" customFormat="false" ht="15" hidden="false" customHeight="true" outlineLevel="0" collapsed="false">
      <c r="A87" s="19" t="s">
        <v>410</v>
      </c>
      <c r="B87" s="35" t="n">
        <f aca="false">B71-B18</f>
        <v>1399.484059347</v>
      </c>
      <c r="C87" s="35" t="n">
        <f aca="false">C71-C18</f>
        <v>1103.3218217505</v>
      </c>
      <c r="D87" s="35" t="n">
        <f aca="false">D71-D18</f>
        <v>564.010645066</v>
      </c>
      <c r="E87" s="36" t="n">
        <f aca="false">E71-E18</f>
        <v>1759.22997105812</v>
      </c>
      <c r="F87" s="36" t="n">
        <f aca="false">F71-F18</f>
        <v>1122.75039243917</v>
      </c>
      <c r="G87" s="36" t="n">
        <f aca="false">G71-G18</f>
        <v>544.255113213751</v>
      </c>
      <c r="H87" s="36" t="n">
        <f aca="false">H71-H18</f>
        <v>76.6729031383736</v>
      </c>
      <c r="I87" s="36" t="n">
        <f aca="false">I71-I18</f>
        <v>-420.751293481623</v>
      </c>
      <c r="K87" s="12" t="s">
        <v>411</v>
      </c>
    </row>
    <row r="88" customFormat="false" ht="15" hidden="false" customHeight="true" outlineLevel="0" collapsed="false">
      <c r="A88" s="13" t="s">
        <v>412</v>
      </c>
      <c r="B88" s="98" t="n">
        <f aca="false">B87/'Income Statement'!B27</f>
        <v>1.74170037269712</v>
      </c>
      <c r="C88" s="98" t="n">
        <f aca="false">C87/'Income Statement'!C27</f>
        <v>1.17481026280018</v>
      </c>
      <c r="D88" s="98" t="n">
        <f aca="false">D87/'Income Statement'!D27</f>
        <v>0.523012572939325</v>
      </c>
      <c r="E88" s="99" t="n">
        <f aca="false">E87/'Income Statement'!E27</f>
        <v>1.5580086823082</v>
      </c>
      <c r="F88" s="99" t="n">
        <f aca="false">F87/'Income Statement'!F27</f>
        <v>0.693330302740764</v>
      </c>
      <c r="G88" s="99" t="n">
        <f aca="false">G87/'Income Statement'!G27</f>
        <v>0.331696346588983</v>
      </c>
      <c r="H88" s="99" t="n">
        <f aca="false">H87/'Income Statement'!H27</f>
        <v>0.0550255687580767</v>
      </c>
      <c r="I88" s="99" t="n">
        <f aca="false">I87/'Income Statement'!I27</f>
        <v>-0.332978797867986</v>
      </c>
      <c r="K88" s="12" t="s">
        <v>413</v>
      </c>
    </row>
    <row r="89" customFormat="false" ht="15" hidden="false" customHeight="true" outlineLevel="0" collapsed="false">
      <c r="A89" s="13" t="s">
        <v>414</v>
      </c>
      <c r="B89" s="14" t="n">
        <f aca="false">B87/B31</f>
        <v>0.294096014379354</v>
      </c>
      <c r="C89" s="14" t="n">
        <f aca="false">C87/C31</f>
        <v>0.215624595556724</v>
      </c>
      <c r="D89" s="14" t="n">
        <f aca="false">D87/D31</f>
        <v>0.101682643783261</v>
      </c>
      <c r="E89" s="15" t="n">
        <f aca="false">E87/E31</f>
        <v>0.290371567091687</v>
      </c>
      <c r="F89" s="15" t="n">
        <f aca="false">F87/F31</f>
        <v>0.167244195704391</v>
      </c>
      <c r="G89" s="15" t="n">
        <f aca="false">G87/G31</f>
        <v>0.0751131533223765</v>
      </c>
      <c r="H89" s="15" t="n">
        <f aca="false">H87/H31</f>
        <v>0.010083847518292</v>
      </c>
      <c r="I89" s="15" t="n">
        <f aca="false">I87/I31</f>
        <v>-0.0530227807950423</v>
      </c>
    </row>
    <row r="90" customFormat="false" ht="15" hidden="false" customHeight="true" outlineLevel="0" collapsed="false">
      <c r="A90" s="9" t="s">
        <v>415</v>
      </c>
      <c r="B90" s="26" t="n">
        <f aca="false">B87+B31</f>
        <v>6158.079861131</v>
      </c>
      <c r="C90" s="26" t="n">
        <f aca="false">C87+C31</f>
        <v>6220.186244855</v>
      </c>
      <c r="D90" s="26" t="n">
        <f aca="false">D87+D31</f>
        <v>6110.7846477975</v>
      </c>
      <c r="E90" s="27" t="n">
        <f aca="false">E87+E31</f>
        <v>7817.77760600145</v>
      </c>
      <c r="F90" s="27" t="n">
        <f aca="false">F87+F31</f>
        <v>7835.99020151251</v>
      </c>
      <c r="G90" s="27" t="n">
        <f aca="false">G87+G31</f>
        <v>7790.05813359653</v>
      </c>
      <c r="H90" s="27" t="n">
        <f aca="false">H87+H31</f>
        <v>7680.209450006</v>
      </c>
      <c r="I90" s="27" t="n">
        <f aca="false">I87+I31</f>
        <v>7514.54155937765</v>
      </c>
    </row>
    <row r="91" customFormat="false" ht="15" hidden="false" customHeight="true" outlineLevel="0" collapsed="false">
      <c r="A91" s="13" t="s">
        <v>416</v>
      </c>
      <c r="B91" s="100" t="n">
        <f aca="false">B29/'Income Statement'!B51</f>
        <v>3.34641054977778</v>
      </c>
      <c r="C91" s="100" t="n">
        <f aca="false">C29/'Income Statement'!C51</f>
        <v>3.613824302256</v>
      </c>
      <c r="D91" s="100" t="n">
        <f aca="false">D29/'Income Statement'!D51</f>
        <v>3.91681478189423</v>
      </c>
      <c r="E91" s="101" t="n">
        <f aca="false">E29/'Income Statement'!E51</f>
        <v>4.19408172545586</v>
      </c>
      <c r="F91" s="101" t="n">
        <f aca="false">F29/'Income Statement'!F51</f>
        <v>4.65135815544271</v>
      </c>
      <c r="G91" s="101" t="n">
        <f aca="false">G29/'Income Statement'!G51</f>
        <v>5.0247271805813</v>
      </c>
      <c r="H91" s="101" t="n">
        <f aca="false">H29/'Income Statement'!H51</f>
        <v>5.27580180974983</v>
      </c>
      <c r="I91" s="101" t="n">
        <f aca="false">I29/'Income Statement'!I51</f>
        <v>5.50911592127122</v>
      </c>
    </row>
    <row r="92" customFormat="false" ht="15" hidden="false" customHeight="true" outlineLevel="0" collapsed="false">
      <c r="A92" s="13" t="s">
        <v>417</v>
      </c>
      <c r="B92" s="102" t="n">
        <f aca="false">B91/2.659575</f>
        <v>1.25825011506642</v>
      </c>
      <c r="C92" s="102" t="n">
        <f aca="false">C91/2.659575</f>
        <v>1.35879766588872</v>
      </c>
      <c r="D92" s="102" t="n">
        <f aca="false">D91/2.659575</f>
        <v>1.47272206344782</v>
      </c>
      <c r="E92" s="103" t="n">
        <f aca="false">E91/2.659575</f>
        <v>1.57697441337652</v>
      </c>
      <c r="F92" s="103" t="n">
        <f aca="false">F91/2.659575</f>
        <v>1.7489103166644</v>
      </c>
      <c r="G92" s="103" t="n">
        <f aca="false">G91/2.659575</f>
        <v>1.88929704203916</v>
      </c>
      <c r="H92" s="103" t="n">
        <f aca="false">H91/2.659575</f>
        <v>1.98370108372572</v>
      </c>
      <c r="I92" s="103" t="n">
        <f aca="false">I91/2.659575</f>
        <v>2.07142717211254</v>
      </c>
    </row>
    <row r="94" customFormat="false" ht="25.5" hidden="false" customHeight="true" outlineLevel="0" collapsed="false">
      <c r="A94" s="3" t="s">
        <v>418</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Aluminium Bahrain B.S.C. (Alba)  |  BHB: ALBH  |  Financial model, 28 August 2026&amp;R&amp;8 Al Ramz Investment Research  |  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true"/>
  </sheetPr>
  <dimension ref="A1:K18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78"/>
  </cols>
  <sheetData>
    <row r="1" customFormat="false" ht="15.75" hidden="false" customHeight="true" outlineLevel="0" collapsed="false">
      <c r="A1" s="2" t="s">
        <v>419</v>
      </c>
    </row>
    <row r="2" customFormat="false" ht="15" hidden="false" customHeight="true" outlineLevel="0" collapsed="false">
      <c r="A2" s="3" t="s">
        <v>420</v>
      </c>
    </row>
    <row r="4" customFormat="false" ht="15" hidden="false" customHeight="true" outlineLevel="0" collapsed="false">
      <c r="A4" s="6" t="s">
        <v>421</v>
      </c>
      <c r="B4" s="7"/>
      <c r="C4" s="7"/>
      <c r="D4" s="7"/>
      <c r="E4" s="7"/>
      <c r="F4" s="7"/>
      <c r="G4" s="7"/>
      <c r="H4" s="7"/>
      <c r="I4" s="7"/>
      <c r="K4" s="7"/>
    </row>
    <row r="5" customFormat="false" ht="15" hidden="false" customHeight="true" outlineLevel="0" collapsed="false">
      <c r="A5" s="19" t="s">
        <v>422</v>
      </c>
    </row>
    <row r="6" customFormat="false" ht="43.5" hidden="false" customHeight="true" outlineLevel="0" collapsed="false">
      <c r="A6" s="3" t="s">
        <v>423</v>
      </c>
    </row>
    <row r="8" customFormat="false" ht="15" hidden="false" customHeight="true" outlineLevel="0" collapsed="false">
      <c r="A8" s="19" t="s">
        <v>424</v>
      </c>
    </row>
    <row r="9" customFormat="false" ht="43.5" hidden="false" customHeight="true" outlineLevel="0" collapsed="false">
      <c r="A9" s="3" t="s">
        <v>425</v>
      </c>
    </row>
    <row r="11" customFormat="false" ht="15" hidden="false" customHeight="true" outlineLevel="0" collapsed="false">
      <c r="A11" s="19" t="s">
        <v>426</v>
      </c>
    </row>
    <row r="12" customFormat="false" ht="43.5" hidden="false" customHeight="true" outlineLevel="0" collapsed="false">
      <c r="A12" s="3" t="s">
        <v>427</v>
      </c>
    </row>
    <row r="13" customFormat="false" ht="15" hidden="false" customHeight="true" outlineLevel="0" collapsed="false">
      <c r="A13" s="41"/>
      <c r="B13" s="41"/>
      <c r="C13" s="41"/>
      <c r="D13" s="41"/>
      <c r="E13" s="41"/>
      <c r="F13" s="41"/>
      <c r="G13" s="41"/>
      <c r="H13" s="41"/>
      <c r="I13" s="41"/>
    </row>
    <row r="15" customFormat="false" ht="15" hidden="false" customHeight="true" outlineLevel="0" collapsed="false">
      <c r="A15" s="6" t="s">
        <v>428</v>
      </c>
      <c r="B15" s="7"/>
      <c r="C15" s="7"/>
      <c r="D15" s="7"/>
      <c r="E15" s="7"/>
      <c r="F15" s="7"/>
      <c r="G15" s="7"/>
      <c r="H15" s="7"/>
      <c r="I15" s="7"/>
      <c r="K15" s="7"/>
    </row>
    <row r="16" customFormat="false" ht="15" hidden="false" customHeight="true" outlineLevel="0" collapsed="false">
      <c r="B16" s="4" t="s">
        <v>2</v>
      </c>
      <c r="C16" s="4" t="s">
        <v>3</v>
      </c>
      <c r="D16" s="4" t="s">
        <v>4</v>
      </c>
      <c r="E16" s="4" t="s">
        <v>5</v>
      </c>
      <c r="F16" s="4" t="s">
        <v>6</v>
      </c>
      <c r="G16" s="4" t="s">
        <v>7</v>
      </c>
      <c r="H16" s="4" t="s">
        <v>8</v>
      </c>
      <c r="I16" s="4" t="s">
        <v>9</v>
      </c>
    </row>
    <row r="17" customFormat="false" ht="15" hidden="false" customHeight="true" outlineLevel="0" collapsed="false">
      <c r="A17" s="9" t="s">
        <v>429</v>
      </c>
      <c r="E17" s="11" t="n">
        <v>3350</v>
      </c>
      <c r="F17" s="11" t="n">
        <v>3500</v>
      </c>
      <c r="G17" s="11" t="n">
        <v>3300</v>
      </c>
      <c r="H17" s="11" t="n">
        <v>3150</v>
      </c>
      <c r="I17" s="11" t="n">
        <v>3100</v>
      </c>
    </row>
    <row r="18" customFormat="false" ht="15" hidden="false" customHeight="true" outlineLevel="0" collapsed="false">
      <c r="A18" s="9" t="s">
        <v>151</v>
      </c>
      <c r="E18" s="11" t="n">
        <v>430</v>
      </c>
      <c r="F18" s="11" t="n">
        <v>460</v>
      </c>
      <c r="G18" s="11" t="n">
        <v>430</v>
      </c>
      <c r="H18" s="11" t="n">
        <v>410</v>
      </c>
      <c r="I18" s="11" t="n">
        <v>400</v>
      </c>
    </row>
    <row r="19" customFormat="false" ht="15" hidden="false" customHeight="true" outlineLevel="0" collapsed="false">
      <c r="A19" s="9" t="s">
        <v>430</v>
      </c>
      <c r="E19" s="11" t="n">
        <v>-200</v>
      </c>
      <c r="F19" s="11" t="n">
        <v>-120</v>
      </c>
      <c r="G19" s="11" t="n">
        <v>-100</v>
      </c>
      <c r="H19" s="11" t="n">
        <v>-95</v>
      </c>
      <c r="I19" s="11" t="n">
        <v>-95</v>
      </c>
    </row>
    <row r="20" customFormat="false" ht="15" hidden="false" customHeight="true" outlineLevel="0" collapsed="false">
      <c r="A20" s="19" t="s">
        <v>431</v>
      </c>
      <c r="E20" s="32" t="n">
        <f aca="false">E17+E18+E19</f>
        <v>3580</v>
      </c>
      <c r="F20" s="32" t="n">
        <f aca="false">F17+F18+F19</f>
        <v>3840</v>
      </c>
      <c r="G20" s="32" t="n">
        <f aca="false">G17+G18+G19</f>
        <v>3630</v>
      </c>
      <c r="H20" s="32" t="n">
        <f aca="false">H17+H18+H19</f>
        <v>3465</v>
      </c>
      <c r="I20" s="32" t="n">
        <f aca="false">I17+I18+I19</f>
        <v>3405</v>
      </c>
    </row>
    <row r="21" customFormat="false" ht="15" hidden="false" customHeight="true" outlineLevel="0" collapsed="false">
      <c r="A21" s="9" t="s">
        <v>252</v>
      </c>
      <c r="E21" s="38" t="n">
        <v>930</v>
      </c>
      <c r="F21" s="38" t="n">
        <v>1420</v>
      </c>
      <c r="G21" s="38" t="n">
        <v>1600</v>
      </c>
      <c r="H21" s="38" t="n">
        <v>1620</v>
      </c>
      <c r="I21" s="38" t="n">
        <v>1620</v>
      </c>
    </row>
    <row r="22" customFormat="false" ht="15" hidden="false" customHeight="true" outlineLevel="0" collapsed="false">
      <c r="A22" s="9" t="s">
        <v>432</v>
      </c>
      <c r="E22" s="38" t="n">
        <v>1060</v>
      </c>
      <c r="F22" s="38" t="n">
        <v>1400</v>
      </c>
      <c r="G22" s="38" t="n">
        <v>1595</v>
      </c>
      <c r="H22" s="38" t="n">
        <v>1615</v>
      </c>
      <c r="I22" s="38" t="n">
        <v>1615</v>
      </c>
    </row>
    <row r="23" customFormat="false" ht="15" hidden="false" customHeight="true" outlineLevel="0" collapsed="false">
      <c r="A23" s="9" t="s">
        <v>433</v>
      </c>
      <c r="E23" s="27" t="n">
        <f aca="false">E20*E22/1000</f>
        <v>3794.8</v>
      </c>
      <c r="F23" s="27" t="n">
        <f aca="false">F20*F22/1000</f>
        <v>5376</v>
      </c>
      <c r="G23" s="27" t="n">
        <f aca="false">G20*G22/1000</f>
        <v>5789.85</v>
      </c>
      <c r="H23" s="27" t="n">
        <f aca="false">H20*H22/1000</f>
        <v>5595.975</v>
      </c>
      <c r="I23" s="27" t="n">
        <f aca="false">I20*I22/1000</f>
        <v>5499.075</v>
      </c>
    </row>
    <row r="24" customFormat="false" ht="15" hidden="false" customHeight="true" outlineLevel="0" collapsed="false">
      <c r="A24" s="13" t="s">
        <v>434</v>
      </c>
      <c r="E24" s="38" t="n">
        <v>163</v>
      </c>
      <c r="F24" s="38" t="n">
        <v>90</v>
      </c>
      <c r="G24" s="38" t="n">
        <v>95</v>
      </c>
      <c r="H24" s="38" t="n">
        <v>100</v>
      </c>
      <c r="I24" s="38" t="n">
        <v>105</v>
      </c>
    </row>
    <row r="25" customFormat="false" ht="15" hidden="false" customHeight="true" outlineLevel="0" collapsed="false">
      <c r="A25" s="19" t="s">
        <v>435</v>
      </c>
      <c r="E25" s="36" t="n">
        <f aca="false">E23+E24</f>
        <v>3957.8</v>
      </c>
      <c r="F25" s="36" t="n">
        <f aca="false">F23+F24</f>
        <v>5466</v>
      </c>
      <c r="G25" s="36" t="n">
        <f aca="false">G23+G24</f>
        <v>5884.85</v>
      </c>
      <c r="H25" s="36" t="n">
        <f aca="false">H23+H24</f>
        <v>5695.975</v>
      </c>
      <c r="I25" s="36" t="n">
        <f aca="false">I23+I24</f>
        <v>5604.075</v>
      </c>
    </row>
    <row r="26" customFormat="false" ht="15" hidden="false" customHeight="true" outlineLevel="0" collapsed="false">
      <c r="A26" s="13" t="s">
        <v>436</v>
      </c>
      <c r="E26" s="38" t="n">
        <v>0</v>
      </c>
      <c r="F26" s="38" t="n">
        <v>1155</v>
      </c>
      <c r="G26" s="38" t="n">
        <v>1110</v>
      </c>
      <c r="H26" s="38" t="n">
        <v>1075</v>
      </c>
      <c r="I26" s="38" t="n">
        <v>1060</v>
      </c>
    </row>
    <row r="27" customFormat="false" ht="15" hidden="false" customHeight="true" outlineLevel="0" collapsed="false">
      <c r="A27" s="19" t="s">
        <v>437</v>
      </c>
      <c r="E27" s="36" t="n">
        <f aca="false">E25+E26</f>
        <v>3957.8</v>
      </c>
      <c r="F27" s="36" t="n">
        <f aca="false">F25+F26</f>
        <v>6621</v>
      </c>
      <c r="G27" s="36" t="n">
        <f aca="false">G25+G26</f>
        <v>6994.85</v>
      </c>
      <c r="H27" s="36" t="n">
        <f aca="false">H25+H26</f>
        <v>6770.975</v>
      </c>
      <c r="I27" s="36" t="n">
        <f aca="false">I25+I26</f>
        <v>6664.075</v>
      </c>
    </row>
    <row r="28" customFormat="false" ht="15" hidden="false" customHeight="true" outlineLevel="0" collapsed="false">
      <c r="A28" s="9" t="s">
        <v>438</v>
      </c>
      <c r="E28" s="11" t="n">
        <v>340</v>
      </c>
      <c r="F28" s="11" t="n">
        <v>350</v>
      </c>
      <c r="G28" s="11" t="n">
        <v>375</v>
      </c>
      <c r="H28" s="11" t="n">
        <v>390</v>
      </c>
      <c r="I28" s="11" t="n">
        <v>400</v>
      </c>
    </row>
    <row r="29" customFormat="false" ht="15" hidden="false" customHeight="true" outlineLevel="0" collapsed="false">
      <c r="A29" s="13" t="s">
        <v>121</v>
      </c>
      <c r="E29" s="27" t="n">
        <f aca="false">1.93*E28*E21/1000</f>
        <v>610.266</v>
      </c>
      <c r="F29" s="27" t="n">
        <f aca="false">1.93*F28*F21/1000</f>
        <v>959.21</v>
      </c>
      <c r="G29" s="27" t="n">
        <f aca="false">1.93*G28*G21/1000</f>
        <v>1158</v>
      </c>
      <c r="H29" s="27" t="n">
        <f aca="false">1.93*H28*H21/1000</f>
        <v>1219.374</v>
      </c>
      <c r="I29" s="27" t="n">
        <f aca="false">1.93*I28*I21/1000</f>
        <v>1250.64</v>
      </c>
    </row>
    <row r="30" customFormat="false" ht="15" hidden="false" customHeight="true" outlineLevel="0" collapsed="false">
      <c r="A30" s="9" t="s">
        <v>124</v>
      </c>
      <c r="E30" s="53" t="n">
        <v>4.5</v>
      </c>
      <c r="F30" s="53" t="n">
        <v>4.5</v>
      </c>
      <c r="G30" s="53" t="n">
        <v>4.5</v>
      </c>
      <c r="H30" s="53" t="n">
        <v>5</v>
      </c>
      <c r="I30" s="53" t="n">
        <v>5</v>
      </c>
    </row>
    <row r="31" customFormat="false" ht="15" hidden="false" customHeight="true" outlineLevel="0" collapsed="false">
      <c r="A31" s="13" t="s">
        <v>439</v>
      </c>
      <c r="E31" s="27" t="n">
        <f aca="false">102*E30*E21/1000</f>
        <v>426.87</v>
      </c>
      <c r="F31" s="27" t="n">
        <f aca="false">102*F30*F21/1000</f>
        <v>651.78</v>
      </c>
      <c r="G31" s="27" t="n">
        <f aca="false">102*G30*G21/1000</f>
        <v>734.4</v>
      </c>
      <c r="H31" s="27" t="n">
        <f aca="false">102*H30*H21/1000</f>
        <v>826.2</v>
      </c>
      <c r="I31" s="27" t="n">
        <f aca="false">102*I30*I21/1000</f>
        <v>826.2</v>
      </c>
    </row>
    <row r="32" customFormat="false" ht="15" hidden="false" customHeight="true" outlineLevel="0" collapsed="false">
      <c r="A32" s="9" t="s">
        <v>440</v>
      </c>
      <c r="E32" s="11" t="n">
        <v>321</v>
      </c>
      <c r="F32" s="11" t="n">
        <v>315</v>
      </c>
      <c r="G32" s="11" t="n">
        <v>310</v>
      </c>
      <c r="H32" s="11" t="n">
        <v>310</v>
      </c>
      <c r="I32" s="11" t="n">
        <v>310</v>
      </c>
    </row>
    <row r="33" customFormat="false" ht="15" hidden="false" customHeight="true" outlineLevel="0" collapsed="false">
      <c r="A33" s="13" t="s">
        <v>441</v>
      </c>
      <c r="E33" s="27" t="n">
        <f aca="false">E32*E21/1000</f>
        <v>298.53</v>
      </c>
      <c r="F33" s="27" t="n">
        <f aca="false">F32*F21/1000</f>
        <v>447.3</v>
      </c>
      <c r="G33" s="27" t="n">
        <f aca="false">G32*G21/1000</f>
        <v>496</v>
      </c>
      <c r="H33" s="27" t="n">
        <f aca="false">H32*H21/1000</f>
        <v>502.2</v>
      </c>
      <c r="I33" s="27" t="n">
        <f aca="false">I32*I21/1000</f>
        <v>502.2</v>
      </c>
    </row>
    <row r="34" customFormat="false" ht="15" hidden="false" customHeight="true" outlineLevel="0" collapsed="false">
      <c r="A34" s="13" t="s">
        <v>132</v>
      </c>
      <c r="E34" s="38" t="n">
        <v>560</v>
      </c>
      <c r="F34" s="38" t="n">
        <v>600</v>
      </c>
      <c r="G34" s="38" t="n">
        <v>620</v>
      </c>
      <c r="H34" s="38" t="n">
        <v>635</v>
      </c>
      <c r="I34" s="38" t="n">
        <v>650</v>
      </c>
    </row>
    <row r="35" customFormat="false" ht="15" hidden="false" customHeight="true" outlineLevel="0" collapsed="false">
      <c r="A35" s="13" t="s">
        <v>134</v>
      </c>
      <c r="E35" s="38" t="n">
        <v>300</v>
      </c>
      <c r="F35" s="38" t="n">
        <v>260</v>
      </c>
      <c r="G35" s="38" t="n">
        <v>250</v>
      </c>
      <c r="H35" s="38" t="n">
        <v>250</v>
      </c>
      <c r="I35" s="38" t="n">
        <v>250</v>
      </c>
    </row>
    <row r="36" customFormat="false" ht="15" hidden="false" customHeight="true" outlineLevel="0" collapsed="false">
      <c r="A36" s="13" t="s">
        <v>442</v>
      </c>
      <c r="E36" s="61" t="n">
        <f aca="false">'Income Statement'!E33</f>
        <v>415.115077258563</v>
      </c>
      <c r="F36" s="61" t="n">
        <f aca="false">'Income Statement'!F33</f>
        <v>425.078077258563</v>
      </c>
      <c r="G36" s="61" t="n">
        <f aca="false">'Income Statement'!G33</f>
        <v>436.635157258563</v>
      </c>
      <c r="H36" s="61" t="n">
        <f aca="false">'Income Statement'!H33</f>
        <v>448.790017258563</v>
      </c>
      <c r="I36" s="61" t="n">
        <f aca="false">'Income Statement'!I33</f>
        <v>461.343397258563</v>
      </c>
    </row>
    <row r="37" customFormat="false" ht="15" hidden="false" customHeight="true" outlineLevel="0" collapsed="false">
      <c r="A37" s="19" t="s">
        <v>443</v>
      </c>
      <c r="E37" s="36" t="n">
        <f aca="false">E29+E31+E33+E34+E35+E36</f>
        <v>2610.78107725856</v>
      </c>
      <c r="F37" s="36" t="n">
        <f aca="false">F29+F31+F33+F34+F35+F36</f>
        <v>3343.36807725856</v>
      </c>
      <c r="G37" s="36" t="n">
        <f aca="false">G29+G31+G33+G34+G35+G36</f>
        <v>3695.03515725856</v>
      </c>
      <c r="H37" s="36" t="n">
        <f aca="false">H29+H31+H33+H34+H35+H36</f>
        <v>3881.56401725856</v>
      </c>
      <c r="I37" s="36" t="n">
        <f aca="false">I29+I31+I33+I34+I35+I36</f>
        <v>3940.38339725856</v>
      </c>
    </row>
    <row r="38" customFormat="false" ht="15" hidden="false" customHeight="true" outlineLevel="0" collapsed="false">
      <c r="A38" s="9" t="s">
        <v>444</v>
      </c>
      <c r="E38" s="51" t="n">
        <f aca="false">E37/E21*1000</f>
        <v>2807.29148092319</v>
      </c>
      <c r="F38" s="51" t="n">
        <f aca="false">F37/F21*1000</f>
        <v>2354.48456144969</v>
      </c>
      <c r="G38" s="51" t="n">
        <f aca="false">G37/G21*1000</f>
        <v>2309.3969732866</v>
      </c>
      <c r="H38" s="51" t="n">
        <f aca="false">H37/H21*1000</f>
        <v>2396.02717114726</v>
      </c>
      <c r="I38" s="51" t="n">
        <f aca="false">I37/I21*1000</f>
        <v>2432.33543040652</v>
      </c>
    </row>
    <row r="39" customFormat="false" ht="15" hidden="false" customHeight="true" outlineLevel="0" collapsed="false">
      <c r="A39" s="9" t="s">
        <v>445</v>
      </c>
      <c r="E39" s="27" t="n">
        <f aca="false">E38*E22/1000</f>
        <v>2975.72896977858</v>
      </c>
      <c r="F39" s="27" t="n">
        <f aca="false">F38*F22/1000</f>
        <v>3296.27838602957</v>
      </c>
      <c r="G39" s="27" t="n">
        <f aca="false">G38*G22/1000</f>
        <v>3683.48817239213</v>
      </c>
      <c r="H39" s="27" t="n">
        <f aca="false">H38*H22/1000</f>
        <v>3869.58388140283</v>
      </c>
      <c r="I39" s="27" t="n">
        <f aca="false">I38*I22/1000</f>
        <v>3928.22172010653</v>
      </c>
    </row>
    <row r="40" customFormat="false" ht="15" hidden="false" customHeight="true" outlineLevel="0" collapsed="false">
      <c r="A40" s="13" t="s">
        <v>446</v>
      </c>
      <c r="E40" s="38" t="n">
        <v>0</v>
      </c>
      <c r="F40" s="38" t="n">
        <v>255</v>
      </c>
      <c r="G40" s="38" t="n">
        <v>225</v>
      </c>
      <c r="H40" s="38" t="n">
        <v>200</v>
      </c>
      <c r="I40" s="38" t="n">
        <v>185</v>
      </c>
    </row>
    <row r="41" customFormat="false" ht="15" hidden="false" customHeight="true" outlineLevel="0" collapsed="false">
      <c r="A41" s="13" t="s">
        <v>447</v>
      </c>
      <c r="E41" s="61" t="n">
        <f aca="false">'Revenue Model'!E98</f>
        <v>0</v>
      </c>
      <c r="F41" s="61" t="n">
        <f aca="false">'Revenue Model'!F98</f>
        <v>86.6666666666667</v>
      </c>
      <c r="G41" s="61" t="n">
        <f aca="false">'Revenue Model'!G98</f>
        <v>86.6666666666667</v>
      </c>
      <c r="H41" s="61" t="n">
        <f aca="false">'Revenue Model'!H98</f>
        <v>86.6666666666667</v>
      </c>
      <c r="I41" s="61" t="n">
        <f aca="false">'Revenue Model'!I98</f>
        <v>86.6666666666667</v>
      </c>
    </row>
    <row r="42" customFormat="false" ht="15" hidden="false" customHeight="true" outlineLevel="0" collapsed="false">
      <c r="A42" s="13" t="s">
        <v>448</v>
      </c>
      <c r="E42" s="27" t="n">
        <f aca="false">E26-E40+E41</f>
        <v>0</v>
      </c>
      <c r="F42" s="27" t="n">
        <f aca="false">F26-F40+F41</f>
        <v>986.666666666667</v>
      </c>
      <c r="G42" s="27" t="n">
        <f aca="false">G26-G40+G41</f>
        <v>971.666666666667</v>
      </c>
      <c r="H42" s="27" t="n">
        <f aca="false">H26-H40+H41</f>
        <v>961.666666666667</v>
      </c>
      <c r="I42" s="27" t="n">
        <f aca="false">I26-I40+I41</f>
        <v>961.666666666667</v>
      </c>
    </row>
    <row r="43" customFormat="false" ht="15" hidden="false" customHeight="true" outlineLevel="0" collapsed="false">
      <c r="A43" s="19" t="s">
        <v>449</v>
      </c>
      <c r="E43" s="36" t="n">
        <f aca="false">E39+E42</f>
        <v>2975.72896977858</v>
      </c>
      <c r="F43" s="36" t="n">
        <f aca="false">F39+F42</f>
        <v>4282.94505269624</v>
      </c>
      <c r="G43" s="36" t="n">
        <f aca="false">G39+G42</f>
        <v>4655.1548390588</v>
      </c>
      <c r="H43" s="36" t="n">
        <f aca="false">H39+H42</f>
        <v>4831.25054806949</v>
      </c>
      <c r="I43" s="36" t="n">
        <f aca="false">I39+I42</f>
        <v>4889.8883867732</v>
      </c>
    </row>
    <row r="44" customFormat="false" ht="15" hidden="false" customHeight="true" outlineLevel="0" collapsed="false">
      <c r="A44" s="19" t="s">
        <v>195</v>
      </c>
      <c r="E44" s="36" t="n">
        <f aca="false">E27-E43</f>
        <v>982.071030221422</v>
      </c>
      <c r="F44" s="36" t="n">
        <f aca="false">F27-F43</f>
        <v>2338.05494730376</v>
      </c>
      <c r="G44" s="36" t="n">
        <f aca="false">G27-G43</f>
        <v>2339.6951609412</v>
      </c>
      <c r="H44" s="36" t="n">
        <f aca="false">H27-H43</f>
        <v>1939.72445193051</v>
      </c>
      <c r="I44" s="36" t="n">
        <f aca="false">I27-I43</f>
        <v>1774.1866132268</v>
      </c>
    </row>
    <row r="45" customFormat="false" ht="15" hidden="false" customHeight="true" outlineLevel="0" collapsed="false">
      <c r="A45" s="9" t="s">
        <v>450</v>
      </c>
      <c r="E45" s="38" t="n">
        <v>-38</v>
      </c>
      <c r="F45" s="38" t="n">
        <v>-278</v>
      </c>
      <c r="G45" s="38" t="n">
        <v>-290</v>
      </c>
      <c r="H45" s="38" t="n">
        <v>-301</v>
      </c>
      <c r="I45" s="38" t="n">
        <v>-306</v>
      </c>
    </row>
    <row r="46" customFormat="false" ht="15" hidden="false" customHeight="true" outlineLevel="0" collapsed="false">
      <c r="A46" s="13" t="s">
        <v>218</v>
      </c>
      <c r="E46" s="61" t="n">
        <f aca="false">-'Income Statement'!E32</f>
        <v>421.864915913174</v>
      </c>
      <c r="F46" s="61" t="n">
        <f aca="false">-'Income Statement'!F32</f>
        <v>518.656582579841</v>
      </c>
      <c r="G46" s="61" t="n">
        <f aca="false">-'Income Statement'!G32</f>
        <v>530.401582579841</v>
      </c>
      <c r="H46" s="61" t="n">
        <f aca="false">-'Income Statement'!H32</f>
        <v>542.754082579841</v>
      </c>
      <c r="I46" s="61" t="n">
        <f aca="false">-'Income Statement'!I32</f>
        <v>555.511582579841</v>
      </c>
    </row>
    <row r="47" customFormat="false" ht="15" hidden="false" customHeight="true" outlineLevel="0" collapsed="false">
      <c r="A47" s="19" t="s">
        <v>88</v>
      </c>
      <c r="E47" s="36" t="n">
        <f aca="false">E44+E45+E46</f>
        <v>1365.9359461346</v>
      </c>
      <c r="F47" s="36" t="n">
        <f aca="false">F44+F45+F46</f>
        <v>2578.7115298836</v>
      </c>
      <c r="G47" s="36" t="n">
        <f aca="false">G44+G45+G46</f>
        <v>2580.09674352104</v>
      </c>
      <c r="H47" s="36" t="n">
        <f aca="false">H44+H45+H46</f>
        <v>2181.47853451035</v>
      </c>
      <c r="I47" s="36" t="n">
        <f aca="false">I44+I45+I46</f>
        <v>2023.69819580664</v>
      </c>
    </row>
    <row r="48" customFormat="false" ht="15" hidden="false" customHeight="true" outlineLevel="0" collapsed="false">
      <c r="A48" s="16" t="s">
        <v>89</v>
      </c>
      <c r="E48" s="23" t="n">
        <f aca="false">E47/E27</f>
        <v>0.34512505587311</v>
      </c>
      <c r="F48" s="23" t="n">
        <f aca="false">F47/F27</f>
        <v>0.389474630702855</v>
      </c>
      <c r="G48" s="23" t="n">
        <f aca="false">G47/G27</f>
        <v>0.368856622160739</v>
      </c>
      <c r="H48" s="23" t="n">
        <f aca="false">H47/H27</f>
        <v>0.322180857928193</v>
      </c>
      <c r="I48" s="23" t="n">
        <f aca="false">I47/I27</f>
        <v>0.303672782165063</v>
      </c>
    </row>
    <row r="49" customFormat="false" ht="15" hidden="false" customHeight="true" outlineLevel="0" collapsed="false">
      <c r="A49" s="19" t="s">
        <v>91</v>
      </c>
      <c r="E49" s="36" t="n">
        <f aca="false">E47-E46</f>
        <v>944.071030221422</v>
      </c>
      <c r="F49" s="36" t="n">
        <f aca="false">F47-F46</f>
        <v>2060.05494730376</v>
      </c>
      <c r="G49" s="36" t="n">
        <f aca="false">G47-G46</f>
        <v>2049.6951609412</v>
      </c>
      <c r="H49" s="36" t="n">
        <f aca="false">H47-H46</f>
        <v>1638.72445193051</v>
      </c>
      <c r="I49" s="36" t="n">
        <f aca="false">I47-I46</f>
        <v>1468.1866132268</v>
      </c>
    </row>
    <row r="50" customFormat="false" ht="15" hidden="false" customHeight="true" outlineLevel="0" collapsed="false">
      <c r="A50" s="9" t="s">
        <v>451</v>
      </c>
      <c r="E50" s="38" t="n">
        <v>-78</v>
      </c>
      <c r="F50" s="38" t="n">
        <v>-180</v>
      </c>
      <c r="G50" s="38" t="n">
        <v>-120</v>
      </c>
      <c r="H50" s="38" t="n">
        <v>-80</v>
      </c>
      <c r="I50" s="38" t="n">
        <v>-45</v>
      </c>
    </row>
    <row r="51" customFormat="false" ht="15" hidden="false" customHeight="true" outlineLevel="0" collapsed="false">
      <c r="A51" s="19" t="s">
        <v>229</v>
      </c>
      <c r="E51" s="36" t="n">
        <f aca="false">E49+E50</f>
        <v>866.071030221422</v>
      </c>
      <c r="F51" s="36" t="n">
        <f aca="false">F49+F50</f>
        <v>1880.05494730376</v>
      </c>
      <c r="G51" s="36" t="n">
        <f aca="false">G49+G50</f>
        <v>1929.6951609412</v>
      </c>
      <c r="H51" s="36" t="n">
        <f aca="false">H49+H50</f>
        <v>1558.72445193051</v>
      </c>
      <c r="I51" s="36" t="n">
        <f aca="false">I49+I50</f>
        <v>1423.1866132268</v>
      </c>
    </row>
    <row r="52" customFormat="false" ht="15" hidden="false" customHeight="true" outlineLevel="0" collapsed="false">
      <c r="A52" s="13" t="s">
        <v>230</v>
      </c>
      <c r="E52" s="25" t="n">
        <v>0.015</v>
      </c>
      <c r="F52" s="25" t="n">
        <v>0.015</v>
      </c>
      <c r="G52" s="25" t="n">
        <v>0.015</v>
      </c>
      <c r="H52" s="25" t="n">
        <v>0.015</v>
      </c>
      <c r="I52" s="25" t="n">
        <v>0.015</v>
      </c>
    </row>
    <row r="53" customFormat="false" ht="15" hidden="false" customHeight="true" outlineLevel="0" collapsed="false">
      <c r="A53" s="19" t="s">
        <v>452</v>
      </c>
      <c r="E53" s="36" t="n">
        <f aca="false">E51*(1-E52)</f>
        <v>853.079964768101</v>
      </c>
      <c r="F53" s="36" t="n">
        <f aca="false">F51*(1-F52)</f>
        <v>1851.85412309421</v>
      </c>
      <c r="G53" s="36" t="n">
        <f aca="false">G51*(1-G52)</f>
        <v>1900.74973352708</v>
      </c>
      <c r="H53" s="36" t="n">
        <f aca="false">H51*(1-H52)</f>
        <v>1535.34358515155</v>
      </c>
      <c r="I53" s="36" t="n">
        <f aca="false">I51*(1-I52)</f>
        <v>1401.8388140284</v>
      </c>
    </row>
    <row r="54" customFormat="false" ht="15" hidden="false" customHeight="true" outlineLevel="0" collapsed="false">
      <c r="A54" s="19" t="s">
        <v>453</v>
      </c>
      <c r="E54" s="70" t="n">
        <f aca="false">E53/1416.048/2.659575*1000</f>
        <v>226.516334616627</v>
      </c>
      <c r="F54" s="70" t="n">
        <f aca="false">F53/1416.048/2.659575*1000</f>
        <v>491.718508852821</v>
      </c>
      <c r="G54" s="70" t="n">
        <f aca="false">G53/1416.048/2.659575*1000</f>
        <v>504.701646321193</v>
      </c>
      <c r="H54" s="70" t="n">
        <f aca="false">H53/1416.048/2.659575*1000</f>
        <v>407.676203461442</v>
      </c>
      <c r="I54" s="70" t="n">
        <f aca="false">I53/1416.048/2.659575*1000</f>
        <v>372.226992768904</v>
      </c>
    </row>
    <row r="55" customFormat="false" ht="15" hidden="false" customHeight="true" outlineLevel="0" collapsed="false">
      <c r="A55" s="13" t="s">
        <v>454</v>
      </c>
      <c r="E55" s="38" t="n">
        <v>220</v>
      </c>
      <c r="F55" s="38" t="n">
        <v>280</v>
      </c>
      <c r="G55" s="38" t="n">
        <v>300</v>
      </c>
      <c r="H55" s="38" t="n">
        <v>310</v>
      </c>
      <c r="I55" s="38" t="n">
        <v>320</v>
      </c>
    </row>
    <row r="56" customFormat="false" ht="15" hidden="false" customHeight="true" outlineLevel="0" collapsed="false">
      <c r="A56" s="16" t="s">
        <v>455</v>
      </c>
      <c r="E56" s="44" t="n">
        <f aca="false">0.275*E27</f>
        <v>1088.395</v>
      </c>
      <c r="F56" s="44" t="n">
        <f aca="false">0.275*F27</f>
        <v>1820.775</v>
      </c>
      <c r="G56" s="44" t="n">
        <f aca="false">0.275*G27</f>
        <v>1923.58375</v>
      </c>
      <c r="H56" s="44" t="n">
        <f aca="false">0.275*H27</f>
        <v>1862.018125</v>
      </c>
      <c r="I56" s="44" t="n">
        <f aca="false">0.275*I27</f>
        <v>1832.620625</v>
      </c>
    </row>
    <row r="57" customFormat="false" ht="15" hidden="false" customHeight="true" outlineLevel="0" collapsed="false">
      <c r="A57" s="16" t="s">
        <v>456</v>
      </c>
      <c r="E57" s="44" t="n">
        <f aca="false">E56-1300.97</f>
        <v>-212.575</v>
      </c>
      <c r="F57" s="44" t="n">
        <f aca="false">F56-E56</f>
        <v>732.38</v>
      </c>
      <c r="G57" s="44" t="n">
        <f aca="false">G56-F56</f>
        <v>102.80875</v>
      </c>
      <c r="H57" s="44" t="n">
        <f aca="false">H56-G56</f>
        <v>-61.565625</v>
      </c>
      <c r="I57" s="44" t="n">
        <f aca="false">I56-H56</f>
        <v>-29.3975000000003</v>
      </c>
    </row>
    <row r="58" customFormat="false" ht="15" hidden="false" customHeight="true" outlineLevel="0" collapsed="false">
      <c r="A58" s="19" t="s">
        <v>457</v>
      </c>
      <c r="E58" s="36" t="n">
        <f aca="false">E47+E50-E51*E52-E55-E57</f>
        <v>1267.51988068127</v>
      </c>
      <c r="F58" s="36" t="n">
        <f aca="false">F47+F50-F51*F52-F55-F57</f>
        <v>1358.13070567405</v>
      </c>
      <c r="G58" s="36" t="n">
        <f aca="false">G47+G50-G51*G52-G55-G57</f>
        <v>2028.34256610693</v>
      </c>
      <c r="H58" s="36" t="n">
        <f aca="false">H47+H50-H51*H52-H55-H57</f>
        <v>1829.66329273139</v>
      </c>
      <c r="I58" s="36" t="n">
        <f aca="false">I47+I50-I51*I52-I55-I57</f>
        <v>1666.74789660824</v>
      </c>
    </row>
    <row r="59" customFormat="false" ht="15" hidden="false" customHeight="true" outlineLevel="0" collapsed="false">
      <c r="A59" s="13" t="s">
        <v>300</v>
      </c>
      <c r="E59" s="27" t="n">
        <f aca="false">-0.4*581.6</f>
        <v>-232.64</v>
      </c>
      <c r="F59" s="27" t="n">
        <f aca="false">-0.4*E53</f>
        <v>-341.23198590724</v>
      </c>
      <c r="G59" s="27" t="n">
        <f aca="false">-0.4*F53</f>
        <v>-740.741649237683</v>
      </c>
      <c r="H59" s="27" t="n">
        <f aca="false">-0.4*G53</f>
        <v>-760.299893410834</v>
      </c>
      <c r="I59" s="27" t="n">
        <f aca="false">-0.4*H53</f>
        <v>-614.137434060619</v>
      </c>
    </row>
    <row r="60" customFormat="false" ht="15" hidden="false" customHeight="true" outlineLevel="0" collapsed="false">
      <c r="A60" s="13" t="s">
        <v>458</v>
      </c>
      <c r="E60" s="38" t="n">
        <f aca="false">-2083</f>
        <v>-2083</v>
      </c>
      <c r="F60" s="38" t="n">
        <v>0</v>
      </c>
      <c r="G60" s="38" t="n">
        <v>0</v>
      </c>
      <c r="H60" s="38" t="n">
        <v>0</v>
      </c>
      <c r="I60" s="38" t="n">
        <v>0</v>
      </c>
    </row>
    <row r="61" customFormat="false" ht="15" hidden="false" customHeight="true" outlineLevel="0" collapsed="false">
      <c r="A61" s="19" t="s">
        <v>459</v>
      </c>
      <c r="E61" s="36" t="n">
        <f aca="false">564-E58-E59-E60</f>
        <v>1612.12011931873</v>
      </c>
      <c r="F61" s="36" t="n">
        <f aca="false">E61-F58-F59-F60</f>
        <v>595.221399551917</v>
      </c>
      <c r="G61" s="36" t="n">
        <f aca="false">F61-G58-G59-G60</f>
        <v>-692.379517317325</v>
      </c>
      <c r="H61" s="36" t="n">
        <f aca="false">G61-H58-H59-H60</f>
        <v>-1761.74291663788</v>
      </c>
      <c r="I61" s="36" t="n">
        <f aca="false">H61-I58-I59-I60</f>
        <v>-2814.3533791855</v>
      </c>
    </row>
    <row r="62" customFormat="false" ht="15" hidden="false" customHeight="true" outlineLevel="0" collapsed="false">
      <c r="A62" s="104" t="s">
        <v>412</v>
      </c>
      <c r="B62" s="41"/>
      <c r="C62" s="41"/>
      <c r="D62" s="41"/>
      <c r="E62" s="105" t="n">
        <f aca="false">E61/E47</f>
        <v>1.18023112568404</v>
      </c>
      <c r="F62" s="105" t="n">
        <f aca="false">F61/F47</f>
        <v>0.230821242567905</v>
      </c>
      <c r="G62" s="105" t="n">
        <f aca="false">G61/G47</f>
        <v>-0.268354091394433</v>
      </c>
      <c r="H62" s="105" t="n">
        <f aca="false">H61/H47</f>
        <v>-0.807591222543622</v>
      </c>
      <c r="I62" s="105" t="n">
        <f aca="false">I61/I47</f>
        <v>-1.39069817081282</v>
      </c>
    </row>
    <row r="64" customFormat="false" ht="15" hidden="false" customHeight="true" outlineLevel="0" collapsed="false">
      <c r="A64" s="6" t="s">
        <v>460</v>
      </c>
      <c r="B64" s="7"/>
      <c r="C64" s="7"/>
      <c r="D64" s="7"/>
      <c r="E64" s="7"/>
      <c r="F64" s="7"/>
      <c r="G64" s="7"/>
      <c r="H64" s="7"/>
      <c r="I64" s="7"/>
      <c r="K64" s="7"/>
    </row>
    <row r="65" customFormat="false" ht="15" hidden="false" customHeight="true" outlineLevel="0" collapsed="false">
      <c r="B65" s="4" t="s">
        <v>2</v>
      </c>
      <c r="C65" s="4" t="s">
        <v>3</v>
      </c>
      <c r="D65" s="4" t="s">
        <v>4</v>
      </c>
      <c r="E65" s="4" t="s">
        <v>5</v>
      </c>
      <c r="F65" s="4" t="s">
        <v>6</v>
      </c>
      <c r="G65" s="4" t="s">
        <v>7</v>
      </c>
      <c r="H65" s="4" t="s">
        <v>8</v>
      </c>
      <c r="I65" s="4" t="s">
        <v>9</v>
      </c>
    </row>
    <row r="66" customFormat="false" ht="15" hidden="false" customHeight="true" outlineLevel="0" collapsed="false">
      <c r="A66" s="9" t="s">
        <v>429</v>
      </c>
      <c r="E66" s="74" t="n">
        <f aca="false">'Revenue Model'!E19</f>
        <v>3350</v>
      </c>
      <c r="F66" s="74" t="n">
        <f aca="false">'Revenue Model'!F19</f>
        <v>3050</v>
      </c>
      <c r="G66" s="74" t="n">
        <f aca="false">'Revenue Model'!G19</f>
        <v>2900</v>
      </c>
      <c r="H66" s="74" t="n">
        <f aca="false">'Revenue Model'!H19</f>
        <v>2800</v>
      </c>
      <c r="I66" s="74" t="n">
        <f aca="false">'Revenue Model'!I19</f>
        <v>2750</v>
      </c>
    </row>
    <row r="67" customFormat="false" ht="15" hidden="false" customHeight="true" outlineLevel="0" collapsed="false">
      <c r="A67" s="9" t="s">
        <v>151</v>
      </c>
      <c r="E67" s="74" t="n">
        <f aca="false">'Revenue Model'!E21</f>
        <v>430</v>
      </c>
      <c r="F67" s="74" t="n">
        <f aca="false">'Revenue Model'!F21</f>
        <v>380</v>
      </c>
      <c r="G67" s="74" t="n">
        <f aca="false">'Revenue Model'!G21</f>
        <v>350</v>
      </c>
      <c r="H67" s="74" t="n">
        <f aca="false">'Revenue Model'!H21</f>
        <v>335</v>
      </c>
      <c r="I67" s="74" t="n">
        <f aca="false">'Revenue Model'!I21</f>
        <v>330</v>
      </c>
    </row>
    <row r="68" customFormat="false" ht="15" hidden="false" customHeight="true" outlineLevel="0" collapsed="false">
      <c r="A68" s="9" t="s">
        <v>430</v>
      </c>
      <c r="E68" s="74" t="n">
        <f aca="false">'Revenue Model'!E22</f>
        <v>-200</v>
      </c>
      <c r="F68" s="74" t="n">
        <f aca="false">'Revenue Model'!F22</f>
        <v>-120</v>
      </c>
      <c r="G68" s="74" t="n">
        <f aca="false">'Revenue Model'!G22</f>
        <v>-100</v>
      </c>
      <c r="H68" s="74" t="n">
        <f aca="false">'Revenue Model'!H22</f>
        <v>-95</v>
      </c>
      <c r="I68" s="74" t="n">
        <f aca="false">'Revenue Model'!I22</f>
        <v>-95</v>
      </c>
    </row>
    <row r="69" customFormat="false" ht="15" hidden="false" customHeight="true" outlineLevel="0" collapsed="false">
      <c r="A69" s="19" t="s">
        <v>431</v>
      </c>
      <c r="E69" s="32" t="n">
        <f aca="false">E66+E67+E68</f>
        <v>3580</v>
      </c>
      <c r="F69" s="32" t="n">
        <f aca="false">F66+F67+F68</f>
        <v>3310</v>
      </c>
      <c r="G69" s="32" t="n">
        <f aca="false">G66+G67+G68</f>
        <v>3150</v>
      </c>
      <c r="H69" s="32" t="n">
        <f aca="false">H66+H67+H68</f>
        <v>3040</v>
      </c>
      <c r="I69" s="32" t="n">
        <f aca="false">I66+I67+I68</f>
        <v>2985</v>
      </c>
    </row>
    <row r="70" customFormat="false" ht="15" hidden="false" customHeight="true" outlineLevel="0" collapsed="false">
      <c r="A70" s="9" t="s">
        <v>252</v>
      </c>
      <c r="E70" s="61" t="n">
        <f aca="false">'Revenue Model'!E10</f>
        <v>910.203</v>
      </c>
      <c r="F70" s="61" t="n">
        <f aca="false">'Revenue Model'!F10</f>
        <v>1300</v>
      </c>
      <c r="G70" s="61" t="n">
        <f aca="false">'Revenue Model'!G10</f>
        <v>1510</v>
      </c>
      <c r="H70" s="61" t="n">
        <f aca="false">'Revenue Model'!H10</f>
        <v>1600</v>
      </c>
      <c r="I70" s="61" t="n">
        <f aca="false">'Revenue Model'!I10</f>
        <v>1620</v>
      </c>
    </row>
    <row r="71" customFormat="false" ht="15" hidden="false" customHeight="true" outlineLevel="0" collapsed="false">
      <c r="A71" s="9" t="s">
        <v>432</v>
      </c>
      <c r="E71" s="61" t="n">
        <f aca="false">'Revenue Model'!E12</f>
        <v>1043.362</v>
      </c>
      <c r="F71" s="61" t="n">
        <f aca="false">'Revenue Model'!F12</f>
        <v>1290</v>
      </c>
      <c r="G71" s="61" t="n">
        <f aca="false">'Revenue Model'!G12</f>
        <v>1505</v>
      </c>
      <c r="H71" s="61" t="n">
        <f aca="false">'Revenue Model'!H12</f>
        <v>1595</v>
      </c>
      <c r="I71" s="61" t="n">
        <f aca="false">'Revenue Model'!I12</f>
        <v>1615</v>
      </c>
    </row>
    <row r="72" customFormat="false" ht="15" hidden="false" customHeight="true" outlineLevel="0" collapsed="false">
      <c r="A72" s="9" t="s">
        <v>433</v>
      </c>
      <c r="E72" s="27" t="n">
        <f aca="false">E69*E71/1000</f>
        <v>3735.23596</v>
      </c>
      <c r="F72" s="27" t="n">
        <f aca="false">F69*F71/1000</f>
        <v>4269.9</v>
      </c>
      <c r="G72" s="27" t="n">
        <f aca="false">G69*G71/1000</f>
        <v>4740.75</v>
      </c>
      <c r="H72" s="27" t="n">
        <f aca="false">H69*H71/1000</f>
        <v>4848.8</v>
      </c>
      <c r="I72" s="27" t="n">
        <f aca="false">I69*I71/1000</f>
        <v>4820.775</v>
      </c>
    </row>
    <row r="73" customFormat="false" ht="15" hidden="false" customHeight="true" outlineLevel="0" collapsed="false">
      <c r="A73" s="13" t="s">
        <v>434</v>
      </c>
      <c r="E73" s="61" t="n">
        <f aca="false">'Revenue Model'!E31</f>
        <v>163</v>
      </c>
      <c r="F73" s="61" t="n">
        <f aca="false">'Revenue Model'!F31</f>
        <v>80</v>
      </c>
      <c r="G73" s="61" t="n">
        <f aca="false">'Revenue Model'!G31</f>
        <v>85</v>
      </c>
      <c r="H73" s="61" t="n">
        <f aca="false">'Revenue Model'!H31</f>
        <v>90</v>
      </c>
      <c r="I73" s="61" t="n">
        <f aca="false">'Revenue Model'!I31</f>
        <v>95</v>
      </c>
    </row>
    <row r="74" customFormat="false" ht="15" hidden="false" customHeight="true" outlineLevel="0" collapsed="false">
      <c r="A74" s="19" t="s">
        <v>435</v>
      </c>
      <c r="E74" s="36" t="n">
        <f aca="false">E72+E73</f>
        <v>3898.23596</v>
      </c>
      <c r="F74" s="36" t="n">
        <f aca="false">F72+F73</f>
        <v>4349.9</v>
      </c>
      <c r="G74" s="36" t="n">
        <f aca="false">G72+G73</f>
        <v>4825.75</v>
      </c>
      <c r="H74" s="36" t="n">
        <f aca="false">H72+H73</f>
        <v>4938.8</v>
      </c>
      <c r="I74" s="36" t="n">
        <f aca="false">I72+I73</f>
        <v>4915.775</v>
      </c>
    </row>
    <row r="75" customFormat="false" ht="15" hidden="false" customHeight="true" outlineLevel="0" collapsed="false">
      <c r="A75" s="13" t="s">
        <v>436</v>
      </c>
      <c r="E75" s="61" t="n">
        <f aca="false">'Revenue Model'!E94</f>
        <v>0</v>
      </c>
      <c r="F75" s="61" t="n">
        <f aca="false">'Revenue Model'!F94</f>
        <v>1023.65</v>
      </c>
      <c r="G75" s="61" t="n">
        <f aca="false">'Revenue Model'!G94</f>
        <v>973.5</v>
      </c>
      <c r="H75" s="61" t="n">
        <f aca="false">'Revenue Model'!H94</f>
        <v>941.05</v>
      </c>
      <c r="I75" s="61" t="n">
        <f aca="false">'Revenue Model'!I94</f>
        <v>924.825</v>
      </c>
    </row>
    <row r="76" customFormat="false" ht="15" hidden="false" customHeight="true" outlineLevel="0" collapsed="false">
      <c r="A76" s="19" t="s">
        <v>437</v>
      </c>
      <c r="E76" s="36" t="n">
        <f aca="false">E74+E75</f>
        <v>3898.23596</v>
      </c>
      <c r="F76" s="36" t="n">
        <f aca="false">F74+F75</f>
        <v>5373.55</v>
      </c>
      <c r="G76" s="36" t="n">
        <f aca="false">G74+G75</f>
        <v>5799.25</v>
      </c>
      <c r="H76" s="36" t="n">
        <f aca="false">H74+H75</f>
        <v>5879.85</v>
      </c>
      <c r="I76" s="36" t="n">
        <f aca="false">I74+I75</f>
        <v>5840.6</v>
      </c>
    </row>
    <row r="77" customFormat="false" ht="15" hidden="false" customHeight="true" outlineLevel="0" collapsed="false">
      <c r="A77" s="9" t="s">
        <v>438</v>
      </c>
      <c r="E77" s="74" t="n">
        <f aca="false">'Revenue Model'!E25</f>
        <v>345</v>
      </c>
      <c r="F77" s="74" t="n">
        <f aca="false">'Revenue Model'!F25</f>
        <v>360</v>
      </c>
      <c r="G77" s="74" t="n">
        <f aca="false">'Revenue Model'!G25</f>
        <v>385</v>
      </c>
      <c r="H77" s="74" t="n">
        <f aca="false">'Revenue Model'!H25</f>
        <v>400</v>
      </c>
      <c r="I77" s="74" t="n">
        <f aca="false">'Revenue Model'!I25</f>
        <v>410</v>
      </c>
    </row>
    <row r="78" customFormat="false" ht="15" hidden="false" customHeight="true" outlineLevel="0" collapsed="false">
      <c r="A78" s="13" t="s">
        <v>121</v>
      </c>
      <c r="E78" s="27" t="n">
        <f aca="false">1.93*E77*E70/1000</f>
        <v>606.05866755</v>
      </c>
      <c r="F78" s="27" t="n">
        <f aca="false">1.93*F77*F70/1000</f>
        <v>903.24</v>
      </c>
      <c r="G78" s="27" t="n">
        <f aca="false">1.93*G77*G70/1000</f>
        <v>1122.0055</v>
      </c>
      <c r="H78" s="27" t="n">
        <f aca="false">1.93*H77*H70/1000</f>
        <v>1235.2</v>
      </c>
      <c r="I78" s="27" t="n">
        <f aca="false">1.93*I77*I70/1000</f>
        <v>1281.906</v>
      </c>
    </row>
    <row r="79" customFormat="false" ht="15" hidden="false" customHeight="true" outlineLevel="0" collapsed="false">
      <c r="A79" s="9" t="s">
        <v>124</v>
      </c>
      <c r="E79" s="106" t="n">
        <f aca="false">'Revenue Model'!E125</f>
        <v>4.5</v>
      </c>
      <c r="F79" s="106" t="n">
        <f aca="false">'Revenue Model'!F125</f>
        <v>4.5</v>
      </c>
      <c r="G79" s="106" t="n">
        <f aca="false">'Revenue Model'!G125</f>
        <v>4.5</v>
      </c>
      <c r="H79" s="106" t="n">
        <f aca="false">'Revenue Model'!H125</f>
        <v>5.25</v>
      </c>
      <c r="I79" s="106" t="n">
        <f aca="false">'Revenue Model'!I125</f>
        <v>5.25</v>
      </c>
    </row>
    <row r="80" customFormat="false" ht="15" hidden="false" customHeight="true" outlineLevel="0" collapsed="false">
      <c r="A80" s="13" t="s">
        <v>439</v>
      </c>
      <c r="E80" s="27" t="n">
        <f aca="false">102*E79*E70/1000</f>
        <v>417.783177</v>
      </c>
      <c r="F80" s="27" t="n">
        <f aca="false">102*F79*F70/1000</f>
        <v>596.7</v>
      </c>
      <c r="G80" s="27" t="n">
        <f aca="false">102*G79*G70/1000</f>
        <v>693.09</v>
      </c>
      <c r="H80" s="27" t="n">
        <f aca="false">102*H79*H70/1000</f>
        <v>856.8</v>
      </c>
      <c r="I80" s="27" t="n">
        <f aca="false">102*I79*I70/1000</f>
        <v>867.51</v>
      </c>
    </row>
    <row r="81" customFormat="false" ht="15" hidden="false" customHeight="true" outlineLevel="0" collapsed="false">
      <c r="A81" s="9" t="s">
        <v>440</v>
      </c>
      <c r="E81" s="74" t="n">
        <f aca="false">'Revenue Model'!E127+'Revenue Model'!E129</f>
        <v>321</v>
      </c>
      <c r="F81" s="74" t="n">
        <f aca="false">'Revenue Model'!F127+'Revenue Model'!F129</f>
        <v>315</v>
      </c>
      <c r="G81" s="74" t="n">
        <f aca="false">'Revenue Model'!G127+'Revenue Model'!G129</f>
        <v>309</v>
      </c>
      <c r="H81" s="74" t="n">
        <f aca="false">'Revenue Model'!H127+'Revenue Model'!H129</f>
        <v>309</v>
      </c>
      <c r="I81" s="74" t="n">
        <f aca="false">'Revenue Model'!I127+'Revenue Model'!I129</f>
        <v>309</v>
      </c>
    </row>
    <row r="82" customFormat="false" ht="15" hidden="false" customHeight="true" outlineLevel="0" collapsed="false">
      <c r="A82" s="13" t="s">
        <v>441</v>
      </c>
      <c r="E82" s="27" t="n">
        <f aca="false">E81*E70/1000</f>
        <v>292.175163</v>
      </c>
      <c r="F82" s="27" t="n">
        <f aca="false">F81*F70/1000</f>
        <v>409.5</v>
      </c>
      <c r="G82" s="27" t="n">
        <f aca="false">G81*G70/1000</f>
        <v>466.59</v>
      </c>
      <c r="H82" s="27" t="n">
        <f aca="false">H81*H70/1000</f>
        <v>494.4</v>
      </c>
      <c r="I82" s="27" t="n">
        <f aca="false">I81*I70/1000</f>
        <v>500.58</v>
      </c>
    </row>
    <row r="83" customFormat="false" ht="15" hidden="false" customHeight="true" outlineLevel="0" collapsed="false">
      <c r="A83" s="13" t="s">
        <v>132</v>
      </c>
      <c r="E83" s="61" t="n">
        <f aca="false">'Revenue Model'!E131</f>
        <v>560</v>
      </c>
      <c r="F83" s="61" t="n">
        <f aca="false">'Revenue Model'!F131</f>
        <v>600</v>
      </c>
      <c r="G83" s="61" t="n">
        <f aca="false">'Revenue Model'!G131</f>
        <v>620</v>
      </c>
      <c r="H83" s="61" t="n">
        <f aca="false">'Revenue Model'!H131</f>
        <v>635</v>
      </c>
      <c r="I83" s="61" t="n">
        <f aca="false">'Revenue Model'!I131</f>
        <v>650</v>
      </c>
    </row>
    <row r="84" customFormat="false" ht="15" hidden="false" customHeight="true" outlineLevel="0" collapsed="false">
      <c r="A84" s="13" t="s">
        <v>134</v>
      </c>
      <c r="E84" s="61" t="n">
        <f aca="false">'Revenue Model'!E132</f>
        <v>300</v>
      </c>
      <c r="F84" s="61" t="n">
        <f aca="false">'Revenue Model'!F132</f>
        <v>240</v>
      </c>
      <c r="G84" s="61" t="n">
        <f aca="false">'Revenue Model'!G132</f>
        <v>220</v>
      </c>
      <c r="H84" s="61" t="n">
        <f aca="false">'Revenue Model'!H132</f>
        <v>215</v>
      </c>
      <c r="I84" s="61" t="n">
        <f aca="false">'Revenue Model'!I132</f>
        <v>215</v>
      </c>
    </row>
    <row r="85" customFormat="false" ht="15" hidden="false" customHeight="true" outlineLevel="0" collapsed="false">
      <c r="A85" s="13" t="s">
        <v>442</v>
      </c>
      <c r="E85" s="61" t="n">
        <f aca="false">'Income Statement'!E33</f>
        <v>415.115077258563</v>
      </c>
      <c r="F85" s="61" t="n">
        <f aca="false">'Income Statement'!F33</f>
        <v>425.078077258563</v>
      </c>
      <c r="G85" s="61" t="n">
        <f aca="false">'Income Statement'!G33</f>
        <v>436.635157258563</v>
      </c>
      <c r="H85" s="61" t="n">
        <f aca="false">'Income Statement'!H33</f>
        <v>448.790017258563</v>
      </c>
      <c r="I85" s="61" t="n">
        <f aca="false">'Income Statement'!I33</f>
        <v>461.343397258563</v>
      </c>
    </row>
    <row r="86" customFormat="false" ht="15" hidden="false" customHeight="true" outlineLevel="0" collapsed="false">
      <c r="A86" s="19" t="s">
        <v>443</v>
      </c>
      <c r="E86" s="36" t="n">
        <f aca="false">E78+E80+E82+E83+E84+E85</f>
        <v>2591.13208480856</v>
      </c>
      <c r="F86" s="36" t="n">
        <f aca="false">F78+F80+F82+F83+F84+F85</f>
        <v>3174.51807725856</v>
      </c>
      <c r="G86" s="36" t="n">
        <f aca="false">G78+G80+G82+G83+G84+G85</f>
        <v>3558.32065725856</v>
      </c>
      <c r="H86" s="36" t="n">
        <f aca="false">H78+H80+H82+H83+H84+H85</f>
        <v>3885.19001725856</v>
      </c>
      <c r="I86" s="36" t="n">
        <f aca="false">I78+I80+I82+I83+I84+I85</f>
        <v>3976.33939725856</v>
      </c>
    </row>
    <row r="87" customFormat="false" ht="15" hidden="false" customHeight="true" outlineLevel="0" collapsed="false">
      <c r="A87" s="9" t="s">
        <v>444</v>
      </c>
      <c r="E87" s="51" t="n">
        <f aca="false">E86/E70*1000</f>
        <v>2846.7628482971</v>
      </c>
      <c r="F87" s="51" t="n">
        <f aca="false">F86/F70*1000</f>
        <v>2441.93698250659</v>
      </c>
      <c r="G87" s="51" t="n">
        <f aca="false">G86/G70*1000</f>
        <v>2356.50374652885</v>
      </c>
      <c r="H87" s="51" t="n">
        <f aca="false">H86/H70*1000</f>
        <v>2428.2437607866</v>
      </c>
      <c r="I87" s="51" t="n">
        <f aca="false">I86/I70*1000</f>
        <v>2454.53049213492</v>
      </c>
    </row>
    <row r="88" customFormat="false" ht="15" hidden="false" customHeight="true" outlineLevel="0" collapsed="false">
      <c r="A88" s="9" t="s">
        <v>445</v>
      </c>
      <c r="E88" s="27" t="n">
        <f aca="false">E87*E71/1000</f>
        <v>2970.20417892496</v>
      </c>
      <c r="F88" s="27" t="n">
        <f aca="false">F87*F71/1000</f>
        <v>3150.0987074335</v>
      </c>
      <c r="G88" s="27" t="n">
        <f aca="false">G87*G71/1000</f>
        <v>3546.53813852592</v>
      </c>
      <c r="H88" s="27" t="n">
        <f aca="false">H87*H71/1000</f>
        <v>3873.04879845463</v>
      </c>
      <c r="I88" s="27" t="n">
        <f aca="false">I87*I71/1000</f>
        <v>3964.06674479789</v>
      </c>
    </row>
    <row r="89" customFormat="false" ht="15" hidden="false" customHeight="true" outlineLevel="0" collapsed="false">
      <c r="A89" s="13" t="s">
        <v>446</v>
      </c>
      <c r="E89" s="61" t="n">
        <f aca="false">'Revenue Model'!E96</f>
        <v>0</v>
      </c>
      <c r="F89" s="61" t="n">
        <f aca="false">'Revenue Model'!F96</f>
        <v>212.4</v>
      </c>
      <c r="G89" s="61" t="n">
        <f aca="false">'Revenue Model'!G96</f>
        <v>162.25</v>
      </c>
      <c r="H89" s="61" t="n">
        <f aca="false">'Revenue Model'!H96</f>
        <v>129.8</v>
      </c>
      <c r="I89" s="61" t="n">
        <f aca="false">'Revenue Model'!I96</f>
        <v>113.575</v>
      </c>
    </row>
    <row r="90" customFormat="false" ht="15" hidden="false" customHeight="true" outlineLevel="0" collapsed="false">
      <c r="A90" s="13" t="s">
        <v>447</v>
      </c>
      <c r="E90" s="61" t="n">
        <f aca="false">'Revenue Model'!E98</f>
        <v>0</v>
      </c>
      <c r="F90" s="61" t="n">
        <f aca="false">'Revenue Model'!F98</f>
        <v>86.6666666666667</v>
      </c>
      <c r="G90" s="61" t="n">
        <f aca="false">'Revenue Model'!G98</f>
        <v>86.6666666666667</v>
      </c>
      <c r="H90" s="61" t="n">
        <f aca="false">'Revenue Model'!H98</f>
        <v>86.6666666666667</v>
      </c>
      <c r="I90" s="61" t="n">
        <f aca="false">'Revenue Model'!I98</f>
        <v>86.6666666666667</v>
      </c>
    </row>
    <row r="91" customFormat="false" ht="15" hidden="false" customHeight="true" outlineLevel="0" collapsed="false">
      <c r="A91" s="13" t="s">
        <v>448</v>
      </c>
      <c r="E91" s="27" t="n">
        <f aca="false">E75-E89+E90</f>
        <v>0</v>
      </c>
      <c r="F91" s="27" t="n">
        <f aca="false">F75-F89+F90</f>
        <v>897.916666666667</v>
      </c>
      <c r="G91" s="27" t="n">
        <f aca="false">G75-G89+G90</f>
        <v>897.916666666667</v>
      </c>
      <c r="H91" s="27" t="n">
        <f aca="false">H75-H89+H90</f>
        <v>897.916666666667</v>
      </c>
      <c r="I91" s="27" t="n">
        <f aca="false">I75-I89+I90</f>
        <v>897.916666666667</v>
      </c>
    </row>
    <row r="92" customFormat="false" ht="15" hidden="false" customHeight="true" outlineLevel="0" collapsed="false">
      <c r="A92" s="19" t="s">
        <v>449</v>
      </c>
      <c r="E92" s="36" t="n">
        <f aca="false">E88+E91</f>
        <v>2970.20417892496</v>
      </c>
      <c r="F92" s="36" t="n">
        <f aca="false">F88+F91</f>
        <v>4048.01537410016</v>
      </c>
      <c r="G92" s="36" t="n">
        <f aca="false">G88+G91</f>
        <v>4444.45480519259</v>
      </c>
      <c r="H92" s="36" t="n">
        <f aca="false">H88+H91</f>
        <v>4770.9654651213</v>
      </c>
      <c r="I92" s="36" t="n">
        <f aca="false">I88+I91</f>
        <v>4861.98341146456</v>
      </c>
    </row>
    <row r="93" customFormat="false" ht="15" hidden="false" customHeight="true" outlineLevel="0" collapsed="false">
      <c r="A93" s="19" t="s">
        <v>195</v>
      </c>
      <c r="E93" s="36" t="n">
        <f aca="false">E76-E92</f>
        <v>928.031781075043</v>
      </c>
      <c r="F93" s="36" t="n">
        <f aca="false">F76-F92</f>
        <v>1325.53462589984</v>
      </c>
      <c r="G93" s="36" t="n">
        <f aca="false">G76-G92</f>
        <v>1354.79519480741</v>
      </c>
      <c r="H93" s="36" t="n">
        <f aca="false">H76-H92</f>
        <v>1108.8845348787</v>
      </c>
      <c r="I93" s="36" t="n">
        <f aca="false">I76-I92</f>
        <v>978.616588535443</v>
      </c>
    </row>
    <row r="94" customFormat="false" ht="15" hidden="false" customHeight="true" outlineLevel="0" collapsed="false">
      <c r="A94" s="9" t="s">
        <v>450</v>
      </c>
      <c r="E94" s="61" t="n">
        <f aca="false">'Income Statement'!E16+'Income Statement'!E17+'Income Statement'!E18+'Income Statement'!E20+'Income Statement'!E22</f>
        <v>-220.74382959096</v>
      </c>
      <c r="F94" s="61" t="n">
        <f aca="false">'Income Statement'!F16+'Income Statement'!F17+'Income Statement'!F18+'Income Statement'!F20+'Income Statement'!F22</f>
        <v>-224.832602630645</v>
      </c>
      <c r="G94" s="61" t="n">
        <f aca="false">'Income Statement'!G16+'Income Statement'!G17+'Income Statement'!G18+'Income Statement'!G20+'Income Statement'!G22</f>
        <v>-244.373419485887</v>
      </c>
      <c r="H94" s="61" t="n">
        <f aca="false">'Income Statement'!H16+'Income Statement'!H17+'Income Statement'!H18+'Income Statement'!H20+'Income Statement'!H22</f>
        <v>-258.23360831687</v>
      </c>
      <c r="I94" s="61" t="n">
        <f aca="false">'Income Statement'!I16+'Income Statement'!I17+'Income Statement'!I18+'Income Statement'!I20+'Income Statement'!I22</f>
        <v>-270.530319913855</v>
      </c>
    </row>
    <row r="95" customFormat="false" ht="15" hidden="false" customHeight="true" outlineLevel="0" collapsed="false">
      <c r="A95" s="13" t="s">
        <v>218</v>
      </c>
      <c r="E95" s="61" t="n">
        <f aca="false">-'Income Statement'!E32</f>
        <v>421.864915913174</v>
      </c>
      <c r="F95" s="61" t="n">
        <f aca="false">-'Income Statement'!F32</f>
        <v>518.656582579841</v>
      </c>
      <c r="G95" s="61" t="n">
        <f aca="false">-'Income Statement'!G32</f>
        <v>530.401582579841</v>
      </c>
      <c r="H95" s="61" t="n">
        <f aca="false">-'Income Statement'!H32</f>
        <v>542.754082579841</v>
      </c>
      <c r="I95" s="61" t="n">
        <f aca="false">-'Income Statement'!I32</f>
        <v>555.511582579841</v>
      </c>
    </row>
    <row r="96" customFormat="false" ht="15" hidden="false" customHeight="true" outlineLevel="0" collapsed="false">
      <c r="A96" s="19" t="s">
        <v>88</v>
      </c>
      <c r="E96" s="36" t="n">
        <f aca="false">E93+E94+E95</f>
        <v>1129.15286739726</v>
      </c>
      <c r="F96" s="36" t="n">
        <f aca="false">F93+F94+F95</f>
        <v>1619.35860584903</v>
      </c>
      <c r="G96" s="36" t="n">
        <f aca="false">G93+G94+G95</f>
        <v>1640.82335790137</v>
      </c>
      <c r="H96" s="36" t="n">
        <f aca="false">H93+H94+H95</f>
        <v>1393.40500914167</v>
      </c>
      <c r="I96" s="36" t="n">
        <f aca="false">I93+I94+I95</f>
        <v>1263.59785120143</v>
      </c>
    </row>
    <row r="97" customFormat="false" ht="15" hidden="false" customHeight="true" outlineLevel="0" collapsed="false">
      <c r="A97" s="16" t="s">
        <v>89</v>
      </c>
      <c r="E97" s="23" t="n">
        <f aca="false">E96/E76</f>
        <v>0.289657393493763</v>
      </c>
      <c r="F97" s="23" t="n">
        <f aca="false">F96/F76</f>
        <v>0.301357316085089</v>
      </c>
      <c r="G97" s="23" t="n">
        <f aca="false">G96/G76</f>
        <v>0.282937165650966</v>
      </c>
      <c r="H97" s="23" t="n">
        <f aca="false">H96/H76</f>
        <v>0.236979686410652</v>
      </c>
      <c r="I97" s="23" t="n">
        <f aca="false">I96/I76</f>
        <v>0.216347267609737</v>
      </c>
    </row>
    <row r="98" customFormat="false" ht="15" hidden="false" customHeight="true" outlineLevel="0" collapsed="false">
      <c r="A98" s="19" t="s">
        <v>91</v>
      </c>
      <c r="E98" s="36" t="n">
        <f aca="false">E96-E95</f>
        <v>707.287951484083</v>
      </c>
      <c r="F98" s="36" t="n">
        <f aca="false">F96-F95</f>
        <v>1100.70202326919</v>
      </c>
      <c r="G98" s="36" t="n">
        <f aca="false">G96-G95</f>
        <v>1110.42177532153</v>
      </c>
      <c r="H98" s="36" t="n">
        <f aca="false">H96-H95</f>
        <v>850.650926561833</v>
      </c>
      <c r="I98" s="36" t="n">
        <f aca="false">I96-I95</f>
        <v>708.086268621588</v>
      </c>
    </row>
    <row r="99" customFormat="false" ht="15" hidden="false" customHeight="true" outlineLevel="0" collapsed="false">
      <c r="A99" s="9" t="s">
        <v>451</v>
      </c>
      <c r="E99" s="61" t="n">
        <f aca="false">'Income Statement'!E38</f>
        <v>-78</v>
      </c>
      <c r="F99" s="61" t="n">
        <f aca="false">'Income Statement'!F38</f>
        <v>-184.37260705429</v>
      </c>
      <c r="G99" s="61" t="n">
        <f aca="false">'Income Statement'!G38</f>
        <v>-130.20781979106</v>
      </c>
      <c r="H99" s="61" t="n">
        <f aca="false">'Income Statement'!H38</f>
        <v>-90.25031979106</v>
      </c>
      <c r="I99" s="61" t="n">
        <f aca="false">'Income Statement'!I38</f>
        <v>-54.50031979106</v>
      </c>
    </row>
    <row r="100" customFormat="false" ht="15" hidden="false" customHeight="true" outlineLevel="0" collapsed="false">
      <c r="A100" s="19" t="s">
        <v>229</v>
      </c>
      <c r="E100" s="36" t="n">
        <f aca="false">E98+E99</f>
        <v>629.287951484083</v>
      </c>
      <c r="F100" s="36" t="n">
        <f aca="false">F98+F99</f>
        <v>916.3294162149</v>
      </c>
      <c r="G100" s="36" t="n">
        <f aca="false">G98+G99</f>
        <v>980.213955530466</v>
      </c>
      <c r="H100" s="36" t="n">
        <f aca="false">H98+H99</f>
        <v>760.400606770773</v>
      </c>
      <c r="I100" s="36" t="n">
        <f aca="false">I98+I99</f>
        <v>653.585948830528</v>
      </c>
    </row>
    <row r="101" customFormat="false" ht="15" hidden="false" customHeight="true" outlineLevel="0" collapsed="false">
      <c r="A101" s="13" t="s">
        <v>230</v>
      </c>
      <c r="E101" s="76" t="n">
        <f aca="false">'Income Statement'!E42</f>
        <v>0.015</v>
      </c>
      <c r="F101" s="76" t="n">
        <f aca="false">'Income Statement'!F42</f>
        <v>0.05</v>
      </c>
      <c r="G101" s="76" t="n">
        <f aca="false">'Income Statement'!G42</f>
        <v>0.15</v>
      </c>
      <c r="H101" s="76" t="n">
        <f aca="false">'Income Statement'!H42</f>
        <v>0.15</v>
      </c>
      <c r="I101" s="76" t="n">
        <f aca="false">'Income Statement'!I42</f>
        <v>0.15</v>
      </c>
    </row>
    <row r="102" customFormat="false" ht="15" hidden="false" customHeight="true" outlineLevel="0" collapsed="false">
      <c r="A102" s="19" t="s">
        <v>452</v>
      </c>
      <c r="E102" s="36" t="n">
        <f aca="false">E100*(1-E101)</f>
        <v>619.848632211822</v>
      </c>
      <c r="F102" s="36" t="n">
        <f aca="false">F100*(1-F101)</f>
        <v>870.512945404155</v>
      </c>
      <c r="G102" s="36" t="n">
        <f aca="false">G100*(1-G101)</f>
        <v>833.181862200896</v>
      </c>
      <c r="H102" s="36" t="n">
        <f aca="false">H100*(1-H101)</f>
        <v>646.340515755157</v>
      </c>
      <c r="I102" s="36" t="n">
        <f aca="false">I100*(1-I101)</f>
        <v>555.548056505949</v>
      </c>
    </row>
    <row r="103" customFormat="false" ht="15" hidden="false" customHeight="true" outlineLevel="0" collapsed="false">
      <c r="A103" s="19" t="s">
        <v>453</v>
      </c>
      <c r="E103" s="70" t="n">
        <f aca="false">E102/1416.048/2.659575*1000</f>
        <v>164.58696251754</v>
      </c>
      <c r="F103" s="70" t="n">
        <f aca="false">F102/1416.048/2.659575*1000</f>
        <v>231.145273330708</v>
      </c>
      <c r="G103" s="70" t="n">
        <f aca="false">G102/1416.048/2.659575*1000</f>
        <v>221.232837822075</v>
      </c>
      <c r="H103" s="70" t="n">
        <f aca="false">H102/1416.048/2.659575*1000</f>
        <v>171.621290605362</v>
      </c>
      <c r="I103" s="70" t="n">
        <f aca="false">I102/1416.048/2.659575*1000</f>
        <v>147.513380527377</v>
      </c>
    </row>
    <row r="104" customFormat="false" ht="15" hidden="false" customHeight="true" outlineLevel="0" collapsed="false">
      <c r="A104" s="13" t="s">
        <v>454</v>
      </c>
      <c r="E104" s="61" t="n">
        <f aca="false">'Balance Sheet'!E52+'Revenue Model'!E101</f>
        <v>220</v>
      </c>
      <c r="F104" s="61" t="n">
        <f aca="false">'Balance Sheet'!F52+'Revenue Model'!F101</f>
        <v>340</v>
      </c>
      <c r="G104" s="61" t="n">
        <f aca="false">'Balance Sheet'!G52+'Revenue Model'!G101</f>
        <v>360</v>
      </c>
      <c r="H104" s="61" t="n">
        <f aca="false">'Balance Sheet'!H52+'Revenue Model'!H101</f>
        <v>370</v>
      </c>
      <c r="I104" s="61" t="n">
        <f aca="false">'Balance Sheet'!I52+'Revenue Model'!I101</f>
        <v>380</v>
      </c>
    </row>
    <row r="105" customFormat="false" ht="15" hidden="false" customHeight="true" outlineLevel="0" collapsed="false">
      <c r="A105" s="16" t="s">
        <v>455</v>
      </c>
      <c r="E105" s="44" t="n">
        <f aca="false">0.275*E76</f>
        <v>1072.014889</v>
      </c>
      <c r="F105" s="44" t="n">
        <f aca="false">0.275*F76</f>
        <v>1477.72625</v>
      </c>
      <c r="G105" s="44" t="n">
        <f aca="false">0.275*G76</f>
        <v>1594.79375</v>
      </c>
      <c r="H105" s="44" t="n">
        <f aca="false">0.275*H76</f>
        <v>1616.95875</v>
      </c>
      <c r="I105" s="44" t="n">
        <f aca="false">0.275*I76</f>
        <v>1606.165</v>
      </c>
    </row>
    <row r="106" customFormat="false" ht="15" hidden="false" customHeight="true" outlineLevel="0" collapsed="false">
      <c r="A106" s="16" t="s">
        <v>456</v>
      </c>
      <c r="E106" s="44" t="n">
        <f aca="false">E105-1300.97</f>
        <v>-228.955111</v>
      </c>
      <c r="F106" s="44" t="n">
        <f aca="false">F105-E105</f>
        <v>405.711361</v>
      </c>
      <c r="G106" s="44" t="n">
        <f aca="false">G105-F105</f>
        <v>117.0675</v>
      </c>
      <c r="H106" s="44" t="n">
        <f aca="false">H105-G105</f>
        <v>22.1650000000002</v>
      </c>
      <c r="I106" s="44" t="n">
        <f aca="false">I105-H105</f>
        <v>-10.7937500000003</v>
      </c>
    </row>
    <row r="107" customFormat="false" ht="15" hidden="false" customHeight="true" outlineLevel="0" collapsed="false">
      <c r="A107" s="19" t="s">
        <v>457</v>
      </c>
      <c r="E107" s="36" t="n">
        <f aca="false">E96+E99-E100*E101-E104-E106</f>
        <v>1050.668659125</v>
      </c>
      <c r="F107" s="36" t="n">
        <f aca="false">F96+F99-F100*F101-F104-F106</f>
        <v>643.458166983997</v>
      </c>
      <c r="G107" s="36" t="n">
        <f aca="false">G96+G99-G100*G101-G104-G106</f>
        <v>886.515944780737</v>
      </c>
      <c r="H107" s="36" t="n">
        <f aca="false">H96+H99-H100*H101-H104-H106</f>
        <v>796.929598334997</v>
      </c>
      <c r="I107" s="36" t="n">
        <f aca="false">I96+I99-I100*I101-I104-I106</f>
        <v>741.85338908579</v>
      </c>
    </row>
    <row r="108" customFormat="false" ht="15" hidden="false" customHeight="true" outlineLevel="0" collapsed="false">
      <c r="A108" s="13" t="s">
        <v>300</v>
      </c>
      <c r="E108" s="27" t="n">
        <f aca="false">-0.35*581.6</f>
        <v>-203.56</v>
      </c>
      <c r="F108" s="27" t="n">
        <f aca="false">-0.35*E102</f>
        <v>-216.947021274138</v>
      </c>
      <c r="G108" s="27" t="n">
        <f aca="false">-0.35*F102</f>
        <v>-304.679530891454</v>
      </c>
      <c r="H108" s="27" t="n">
        <f aca="false">-0.35*G102</f>
        <v>-291.613651770314</v>
      </c>
      <c r="I108" s="27" t="n">
        <f aca="false">-0.35*H102</f>
        <v>-226.219180514305</v>
      </c>
    </row>
    <row r="109" customFormat="false" ht="15" hidden="false" customHeight="true" outlineLevel="0" collapsed="false">
      <c r="A109" s="13" t="s">
        <v>458</v>
      </c>
      <c r="E109" s="38" t="n">
        <f aca="false">-2083</f>
        <v>-2083</v>
      </c>
      <c r="F109" s="38" t="n">
        <v>0</v>
      </c>
      <c r="G109" s="38" t="n">
        <v>0</v>
      </c>
      <c r="H109" s="38" t="n">
        <v>0</v>
      </c>
      <c r="I109" s="38" t="n">
        <v>0</v>
      </c>
    </row>
    <row r="110" customFormat="false" ht="15" hidden="false" customHeight="true" outlineLevel="0" collapsed="false">
      <c r="A110" s="19" t="s">
        <v>459</v>
      </c>
      <c r="E110" s="36" t="n">
        <f aca="false">564-E107-E108-E109</f>
        <v>1799.891340875</v>
      </c>
      <c r="F110" s="36" t="n">
        <f aca="false">E110-F107-F108-F109</f>
        <v>1373.38019516515</v>
      </c>
      <c r="G110" s="36" t="n">
        <f aca="false">F110-G107-G108-G109</f>
        <v>791.543781275862</v>
      </c>
      <c r="H110" s="36" t="n">
        <f aca="false">G110-H107-H108-H109</f>
        <v>286.227834711179</v>
      </c>
      <c r="I110" s="36" t="n">
        <f aca="false">H110-I107-I108-I109</f>
        <v>-229.406373860307</v>
      </c>
    </row>
    <row r="111" customFormat="false" ht="15" hidden="false" customHeight="true" outlineLevel="0" collapsed="false">
      <c r="A111" s="104" t="s">
        <v>412</v>
      </c>
      <c r="B111" s="41"/>
      <c r="C111" s="41"/>
      <c r="D111" s="41"/>
      <c r="E111" s="105" t="n">
        <f aca="false">E110/E96</f>
        <v>1.59401919159434</v>
      </c>
      <c r="F111" s="105" t="n">
        <f aca="false">F110/F96</f>
        <v>0.848101334815262</v>
      </c>
      <c r="G111" s="105" t="n">
        <f aca="false">G110/G96</f>
        <v>0.482406456163725</v>
      </c>
      <c r="H111" s="105" t="n">
        <f aca="false">H110/H96</f>
        <v>0.205416108621206</v>
      </c>
      <c r="I111" s="105" t="n">
        <f aca="false">I110/I96</f>
        <v>-0.181550145595916</v>
      </c>
    </row>
    <row r="113" customFormat="false" ht="15" hidden="false" customHeight="true" outlineLevel="0" collapsed="false">
      <c r="A113" s="6" t="s">
        <v>461</v>
      </c>
      <c r="B113" s="7"/>
      <c r="C113" s="7"/>
      <c r="D113" s="7"/>
      <c r="E113" s="7"/>
      <c r="F113" s="7"/>
      <c r="G113" s="7"/>
      <c r="H113" s="7"/>
      <c r="I113" s="7"/>
      <c r="K113" s="7"/>
    </row>
    <row r="114" customFormat="false" ht="15" hidden="false" customHeight="true" outlineLevel="0" collapsed="false">
      <c r="B114" s="4" t="s">
        <v>2</v>
      </c>
      <c r="C114" s="4" t="s">
        <v>3</v>
      </c>
      <c r="D114" s="4" t="s">
        <v>4</v>
      </c>
      <c r="E114" s="4" t="s">
        <v>5</v>
      </c>
      <c r="F114" s="4" t="s">
        <v>6</v>
      </c>
      <c r="G114" s="4" t="s">
        <v>7</v>
      </c>
      <c r="H114" s="4" t="s">
        <v>8</v>
      </c>
      <c r="I114" s="4" t="s">
        <v>9</v>
      </c>
    </row>
    <row r="115" customFormat="false" ht="15" hidden="false" customHeight="true" outlineLevel="0" collapsed="false">
      <c r="A115" s="9" t="s">
        <v>429</v>
      </c>
      <c r="E115" s="11" t="n">
        <v>3250</v>
      </c>
      <c r="F115" s="11" t="n">
        <v>2700</v>
      </c>
      <c r="G115" s="11" t="n">
        <v>2550</v>
      </c>
      <c r="H115" s="11" t="n">
        <v>2500</v>
      </c>
      <c r="I115" s="11" t="n">
        <v>2500</v>
      </c>
    </row>
    <row r="116" customFormat="false" ht="15" hidden="false" customHeight="true" outlineLevel="0" collapsed="false">
      <c r="A116" s="9" t="s">
        <v>151</v>
      </c>
      <c r="E116" s="11" t="n">
        <v>420</v>
      </c>
      <c r="F116" s="11" t="n">
        <v>300</v>
      </c>
      <c r="G116" s="11" t="n">
        <v>280</v>
      </c>
      <c r="H116" s="11" t="n">
        <v>275</v>
      </c>
      <c r="I116" s="11" t="n">
        <v>275</v>
      </c>
    </row>
    <row r="117" customFormat="false" ht="15" hidden="false" customHeight="true" outlineLevel="0" collapsed="false">
      <c r="A117" s="9" t="s">
        <v>430</v>
      </c>
      <c r="E117" s="11" t="n">
        <v>-200</v>
      </c>
      <c r="F117" s="11" t="n">
        <v>-120</v>
      </c>
      <c r="G117" s="11" t="n">
        <v>-100</v>
      </c>
      <c r="H117" s="11" t="n">
        <v>-95</v>
      </c>
      <c r="I117" s="11" t="n">
        <v>-95</v>
      </c>
    </row>
    <row r="118" customFormat="false" ht="15" hidden="false" customHeight="true" outlineLevel="0" collapsed="false">
      <c r="A118" s="19" t="s">
        <v>431</v>
      </c>
      <c r="E118" s="32" t="n">
        <f aca="false">E115+E116+E117</f>
        <v>3470</v>
      </c>
      <c r="F118" s="32" t="n">
        <f aca="false">F115+F116+F117</f>
        <v>2880</v>
      </c>
      <c r="G118" s="32" t="n">
        <f aca="false">G115+G116+G117</f>
        <v>2730</v>
      </c>
      <c r="H118" s="32" t="n">
        <f aca="false">H115+H116+H117</f>
        <v>2680</v>
      </c>
      <c r="I118" s="32" t="n">
        <f aca="false">I115+I116+I117</f>
        <v>2680</v>
      </c>
    </row>
    <row r="119" customFormat="false" ht="15" hidden="false" customHeight="true" outlineLevel="0" collapsed="false">
      <c r="A119" s="9" t="s">
        <v>252</v>
      </c>
      <c r="E119" s="38" t="n">
        <v>880</v>
      </c>
      <c r="F119" s="38" t="n">
        <v>1150</v>
      </c>
      <c r="G119" s="38" t="n">
        <v>1350</v>
      </c>
      <c r="H119" s="38" t="n">
        <v>1480</v>
      </c>
      <c r="I119" s="38" t="n">
        <v>1550</v>
      </c>
    </row>
    <row r="120" customFormat="false" ht="15" hidden="false" customHeight="true" outlineLevel="0" collapsed="false">
      <c r="A120" s="9" t="s">
        <v>432</v>
      </c>
      <c r="E120" s="38" t="n">
        <v>1020</v>
      </c>
      <c r="F120" s="38" t="n">
        <v>1180</v>
      </c>
      <c r="G120" s="38" t="n">
        <v>1345</v>
      </c>
      <c r="H120" s="38" t="n">
        <v>1475</v>
      </c>
      <c r="I120" s="38" t="n">
        <v>1545</v>
      </c>
    </row>
    <row r="121" customFormat="false" ht="15" hidden="false" customHeight="true" outlineLevel="0" collapsed="false">
      <c r="A121" s="9" t="s">
        <v>433</v>
      </c>
      <c r="E121" s="27" t="n">
        <f aca="false">E118*E120/1000</f>
        <v>3539.4</v>
      </c>
      <c r="F121" s="27" t="n">
        <f aca="false">F118*F120/1000</f>
        <v>3398.4</v>
      </c>
      <c r="G121" s="27" t="n">
        <f aca="false">G118*G120/1000</f>
        <v>3671.85</v>
      </c>
      <c r="H121" s="27" t="n">
        <f aca="false">H118*H120/1000</f>
        <v>3953</v>
      </c>
      <c r="I121" s="27" t="n">
        <f aca="false">I118*I120/1000</f>
        <v>4140.6</v>
      </c>
    </row>
    <row r="122" customFormat="false" ht="15" hidden="false" customHeight="true" outlineLevel="0" collapsed="false">
      <c r="A122" s="13" t="s">
        <v>434</v>
      </c>
      <c r="E122" s="38" t="n">
        <v>163</v>
      </c>
      <c r="F122" s="38" t="n">
        <v>70</v>
      </c>
      <c r="G122" s="38" t="n">
        <v>75</v>
      </c>
      <c r="H122" s="38" t="n">
        <v>80</v>
      </c>
      <c r="I122" s="38" t="n">
        <v>85</v>
      </c>
    </row>
    <row r="123" customFormat="false" ht="15" hidden="false" customHeight="true" outlineLevel="0" collapsed="false">
      <c r="A123" s="19" t="s">
        <v>435</v>
      </c>
      <c r="E123" s="36" t="n">
        <f aca="false">E121+E122</f>
        <v>3702.4</v>
      </c>
      <c r="F123" s="36" t="n">
        <f aca="false">F121+F122</f>
        <v>3468.4</v>
      </c>
      <c r="G123" s="36" t="n">
        <f aca="false">G121+G122</f>
        <v>3746.85</v>
      </c>
      <c r="H123" s="36" t="n">
        <f aca="false">H121+H122</f>
        <v>4033</v>
      </c>
      <c r="I123" s="36" t="n">
        <f aca="false">I121+I122</f>
        <v>4225.6</v>
      </c>
    </row>
    <row r="124" customFormat="false" ht="15" hidden="false" customHeight="true" outlineLevel="0" collapsed="false">
      <c r="A124" s="13" t="s">
        <v>436</v>
      </c>
      <c r="E124" s="38" t="n">
        <v>0</v>
      </c>
      <c r="F124" s="38" t="n">
        <v>885</v>
      </c>
      <c r="G124" s="38" t="n">
        <v>862</v>
      </c>
      <c r="H124" s="38" t="n">
        <v>851</v>
      </c>
      <c r="I124" s="38" t="n">
        <v>851</v>
      </c>
    </row>
    <row r="125" customFormat="false" ht="15" hidden="false" customHeight="true" outlineLevel="0" collapsed="false">
      <c r="A125" s="19" t="s">
        <v>437</v>
      </c>
      <c r="E125" s="36" t="n">
        <f aca="false">E123+E124</f>
        <v>3702.4</v>
      </c>
      <c r="F125" s="36" t="n">
        <f aca="false">F123+F124</f>
        <v>4353.4</v>
      </c>
      <c r="G125" s="36" t="n">
        <f aca="false">G123+G124</f>
        <v>4608.85</v>
      </c>
      <c r="H125" s="36" t="n">
        <f aca="false">H123+H124</f>
        <v>4884</v>
      </c>
      <c r="I125" s="36" t="n">
        <f aca="false">I123+I124</f>
        <v>5076.6</v>
      </c>
    </row>
    <row r="126" customFormat="false" ht="15" hidden="false" customHeight="true" outlineLevel="0" collapsed="false">
      <c r="A126" s="9" t="s">
        <v>438</v>
      </c>
      <c r="E126" s="11" t="n">
        <v>350</v>
      </c>
      <c r="F126" s="11" t="n">
        <v>390</v>
      </c>
      <c r="G126" s="11" t="n">
        <v>400</v>
      </c>
      <c r="H126" s="11" t="n">
        <v>402</v>
      </c>
      <c r="I126" s="11" t="n">
        <v>405</v>
      </c>
    </row>
    <row r="127" customFormat="false" ht="15" hidden="false" customHeight="true" outlineLevel="0" collapsed="false">
      <c r="A127" s="13" t="s">
        <v>121</v>
      </c>
      <c r="E127" s="27" t="n">
        <f aca="false">1.93*E126*E119/1000</f>
        <v>594.44</v>
      </c>
      <c r="F127" s="27" t="n">
        <f aca="false">1.93*F126*F119/1000</f>
        <v>865.605</v>
      </c>
      <c r="G127" s="27" t="n">
        <f aca="false">1.93*G126*G119/1000</f>
        <v>1042.2</v>
      </c>
      <c r="H127" s="27" t="n">
        <f aca="false">1.93*H126*H119/1000</f>
        <v>1148.2728</v>
      </c>
      <c r="I127" s="27" t="n">
        <f aca="false">1.93*I126*I119/1000</f>
        <v>1211.5575</v>
      </c>
    </row>
    <row r="128" customFormat="false" ht="15" hidden="false" customHeight="true" outlineLevel="0" collapsed="false">
      <c r="A128" s="9" t="s">
        <v>124</v>
      </c>
      <c r="E128" s="53" t="n">
        <v>4.5</v>
      </c>
      <c r="F128" s="53" t="n">
        <v>4.75</v>
      </c>
      <c r="G128" s="53" t="n">
        <v>5</v>
      </c>
      <c r="H128" s="53" t="n">
        <v>5</v>
      </c>
      <c r="I128" s="53" t="n">
        <v>5</v>
      </c>
    </row>
    <row r="129" customFormat="false" ht="15" hidden="false" customHeight="true" outlineLevel="0" collapsed="false">
      <c r="A129" s="13" t="s">
        <v>439</v>
      </c>
      <c r="E129" s="27" t="n">
        <f aca="false">102*E128*E119/1000</f>
        <v>403.92</v>
      </c>
      <c r="F129" s="27" t="n">
        <f aca="false">102*F128*F119/1000</f>
        <v>557.175</v>
      </c>
      <c r="G129" s="27" t="n">
        <f aca="false">102*G128*G119/1000</f>
        <v>688.5</v>
      </c>
      <c r="H129" s="27" t="n">
        <f aca="false">102*H128*H119/1000</f>
        <v>754.8</v>
      </c>
      <c r="I129" s="27" t="n">
        <f aca="false">102*I128*I119/1000</f>
        <v>790.5</v>
      </c>
    </row>
    <row r="130" customFormat="false" ht="15" hidden="false" customHeight="true" outlineLevel="0" collapsed="false">
      <c r="A130" s="9" t="s">
        <v>440</v>
      </c>
      <c r="E130" s="11" t="n">
        <v>321</v>
      </c>
      <c r="F130" s="11" t="n">
        <v>300</v>
      </c>
      <c r="G130" s="11" t="n">
        <v>300</v>
      </c>
      <c r="H130" s="11" t="n">
        <v>300</v>
      </c>
      <c r="I130" s="11" t="n">
        <v>300</v>
      </c>
    </row>
    <row r="131" customFormat="false" ht="15" hidden="false" customHeight="true" outlineLevel="0" collapsed="false">
      <c r="A131" s="13" t="s">
        <v>441</v>
      </c>
      <c r="E131" s="27" t="n">
        <f aca="false">E130*E119/1000</f>
        <v>282.48</v>
      </c>
      <c r="F131" s="27" t="n">
        <f aca="false">F130*F119/1000</f>
        <v>345</v>
      </c>
      <c r="G131" s="27" t="n">
        <f aca="false">G130*G119/1000</f>
        <v>405</v>
      </c>
      <c r="H131" s="27" t="n">
        <f aca="false">H130*H119/1000</f>
        <v>444</v>
      </c>
      <c r="I131" s="27" t="n">
        <f aca="false">I130*I119/1000</f>
        <v>465</v>
      </c>
    </row>
    <row r="132" customFormat="false" ht="15" hidden="false" customHeight="true" outlineLevel="0" collapsed="false">
      <c r="A132" s="13" t="s">
        <v>132</v>
      </c>
      <c r="E132" s="38" t="n">
        <v>565</v>
      </c>
      <c r="F132" s="38" t="n">
        <v>605</v>
      </c>
      <c r="G132" s="38" t="n">
        <v>620</v>
      </c>
      <c r="H132" s="38" t="n">
        <v>630</v>
      </c>
      <c r="I132" s="38" t="n">
        <v>635</v>
      </c>
    </row>
    <row r="133" customFormat="false" ht="15" hidden="false" customHeight="true" outlineLevel="0" collapsed="false">
      <c r="A133" s="13" t="s">
        <v>134</v>
      </c>
      <c r="E133" s="38" t="n">
        <v>320</v>
      </c>
      <c r="F133" s="38" t="n">
        <v>230</v>
      </c>
      <c r="G133" s="38" t="n">
        <v>225</v>
      </c>
      <c r="H133" s="38" t="n">
        <v>220</v>
      </c>
      <c r="I133" s="38" t="n">
        <v>220</v>
      </c>
    </row>
    <row r="134" customFormat="false" ht="15" hidden="false" customHeight="true" outlineLevel="0" collapsed="false">
      <c r="A134" s="13" t="s">
        <v>442</v>
      </c>
      <c r="E134" s="61" t="n">
        <f aca="false">'Income Statement'!E33</f>
        <v>415.115077258563</v>
      </c>
      <c r="F134" s="61" t="n">
        <f aca="false">'Income Statement'!F33</f>
        <v>425.078077258563</v>
      </c>
      <c r="G134" s="61" t="n">
        <f aca="false">'Income Statement'!G33</f>
        <v>436.635157258563</v>
      </c>
      <c r="H134" s="61" t="n">
        <f aca="false">'Income Statement'!H33</f>
        <v>448.790017258563</v>
      </c>
      <c r="I134" s="61" t="n">
        <f aca="false">'Income Statement'!I33</f>
        <v>461.343397258563</v>
      </c>
    </row>
    <row r="135" customFormat="false" ht="15" hidden="false" customHeight="true" outlineLevel="0" collapsed="false">
      <c r="A135" s="19" t="s">
        <v>443</v>
      </c>
      <c r="E135" s="36" t="n">
        <f aca="false">E127+E129+E131+E132+E133+E134</f>
        <v>2580.95507725856</v>
      </c>
      <c r="F135" s="36" t="n">
        <f aca="false">F127+F129+F131+F132+F133+F134</f>
        <v>3027.85807725856</v>
      </c>
      <c r="G135" s="36" t="n">
        <f aca="false">G127+G129+G131+G132+G133+G134</f>
        <v>3417.33515725856</v>
      </c>
      <c r="H135" s="36" t="n">
        <f aca="false">H127+H129+H131+H132+H133+H134</f>
        <v>3645.86281725856</v>
      </c>
      <c r="I135" s="36" t="n">
        <f aca="false">I127+I129+I131+I132+I133+I134</f>
        <v>3783.40089725856</v>
      </c>
    </row>
    <row r="136" customFormat="false" ht="15" hidden="false" customHeight="true" outlineLevel="0" collapsed="false">
      <c r="A136" s="9" t="s">
        <v>444</v>
      </c>
      <c r="E136" s="51" t="n">
        <f aca="false">E135/E119*1000</f>
        <v>2932.90349688473</v>
      </c>
      <c r="F136" s="51" t="n">
        <f aca="false">F135/F119*1000</f>
        <v>2632.92006718136</v>
      </c>
      <c r="G136" s="51" t="n">
        <f aca="false">G135/G119*1000</f>
        <v>2531.35937574708</v>
      </c>
      <c r="H136" s="51" t="n">
        <f aca="false">H135/H119*1000</f>
        <v>2463.420822472</v>
      </c>
      <c r="I136" s="51" t="n">
        <f aca="false">I135/I119*1000</f>
        <v>2440.90380468294</v>
      </c>
    </row>
    <row r="137" customFormat="false" ht="15" hidden="false" customHeight="true" outlineLevel="0" collapsed="false">
      <c r="A137" s="9" t="s">
        <v>445</v>
      </c>
      <c r="E137" s="27" t="n">
        <f aca="false">E136*E120/1000</f>
        <v>2991.56156682243</v>
      </c>
      <c r="F137" s="27" t="n">
        <f aca="false">F136*F120/1000</f>
        <v>3106.845679274</v>
      </c>
      <c r="G137" s="27" t="n">
        <f aca="false">G136*G120/1000</f>
        <v>3404.67836037983</v>
      </c>
      <c r="H137" s="27" t="n">
        <f aca="false">H136*H120/1000</f>
        <v>3633.5457131462</v>
      </c>
      <c r="I137" s="27" t="n">
        <f aca="false">I136*I120/1000</f>
        <v>3771.19637823515</v>
      </c>
    </row>
    <row r="138" customFormat="false" ht="15" hidden="false" customHeight="true" outlineLevel="0" collapsed="false">
      <c r="A138" s="13" t="s">
        <v>446</v>
      </c>
      <c r="E138" s="38" t="n">
        <v>0</v>
      </c>
      <c r="F138" s="38" t="n">
        <v>75</v>
      </c>
      <c r="G138" s="38" t="n">
        <v>55</v>
      </c>
      <c r="H138" s="38" t="n">
        <v>45</v>
      </c>
      <c r="I138" s="38" t="n">
        <v>40</v>
      </c>
    </row>
    <row r="139" customFormat="false" ht="15" hidden="false" customHeight="true" outlineLevel="0" collapsed="false">
      <c r="A139" s="13" t="s">
        <v>447</v>
      </c>
      <c r="E139" s="61" t="n">
        <f aca="false">'Revenue Model'!E98</f>
        <v>0</v>
      </c>
      <c r="F139" s="61" t="n">
        <f aca="false">'Revenue Model'!F98</f>
        <v>86.6666666666667</v>
      </c>
      <c r="G139" s="61" t="n">
        <f aca="false">'Revenue Model'!G98</f>
        <v>86.6666666666667</v>
      </c>
      <c r="H139" s="61" t="n">
        <f aca="false">'Revenue Model'!H98</f>
        <v>86.6666666666667</v>
      </c>
      <c r="I139" s="61" t="n">
        <f aca="false">'Revenue Model'!I98</f>
        <v>86.6666666666667</v>
      </c>
    </row>
    <row r="140" customFormat="false" ht="15" hidden="false" customHeight="true" outlineLevel="0" collapsed="false">
      <c r="A140" s="13" t="s">
        <v>448</v>
      </c>
      <c r="E140" s="27" t="n">
        <f aca="false">E124-E138+E139</f>
        <v>0</v>
      </c>
      <c r="F140" s="27" t="n">
        <f aca="false">F124-F138+F139</f>
        <v>896.666666666667</v>
      </c>
      <c r="G140" s="27" t="n">
        <f aca="false">G124-G138+G139</f>
        <v>893.666666666667</v>
      </c>
      <c r="H140" s="27" t="n">
        <f aca="false">H124-H138+H139</f>
        <v>892.666666666667</v>
      </c>
      <c r="I140" s="27" t="n">
        <f aca="false">I124-I138+I139</f>
        <v>897.666666666667</v>
      </c>
    </row>
    <row r="141" customFormat="false" ht="15" hidden="false" customHeight="true" outlineLevel="0" collapsed="false">
      <c r="A141" s="19" t="s">
        <v>449</v>
      </c>
      <c r="E141" s="36" t="n">
        <f aca="false">E137+E140</f>
        <v>2991.56156682243</v>
      </c>
      <c r="F141" s="36" t="n">
        <f aca="false">F137+F140</f>
        <v>4003.51234594067</v>
      </c>
      <c r="G141" s="36" t="n">
        <f aca="false">G137+G140</f>
        <v>4298.3450270465</v>
      </c>
      <c r="H141" s="36" t="n">
        <f aca="false">H137+H140</f>
        <v>4526.21237981287</v>
      </c>
      <c r="I141" s="36" t="n">
        <f aca="false">I137+I140</f>
        <v>4668.86304490182</v>
      </c>
    </row>
    <row r="142" customFormat="false" ht="15" hidden="false" customHeight="true" outlineLevel="0" collapsed="false">
      <c r="A142" s="19" t="s">
        <v>195</v>
      </c>
      <c r="E142" s="36" t="n">
        <f aca="false">E125-E141</f>
        <v>710.838433177574</v>
      </c>
      <c r="F142" s="36" t="n">
        <f aca="false">F125-F141</f>
        <v>349.887654059329</v>
      </c>
      <c r="G142" s="36" t="n">
        <f aca="false">G125-G141</f>
        <v>310.504972953506</v>
      </c>
      <c r="H142" s="36" t="n">
        <f aca="false">H125-H141</f>
        <v>357.78762018713</v>
      </c>
      <c r="I142" s="36" t="n">
        <f aca="false">I125-I141</f>
        <v>407.736955098185</v>
      </c>
    </row>
    <row r="143" customFormat="false" ht="15" hidden="false" customHeight="true" outlineLevel="0" collapsed="false">
      <c r="A143" s="9" t="s">
        <v>450</v>
      </c>
      <c r="E143" s="38" t="n">
        <v>-38</v>
      </c>
      <c r="F143" s="38" t="n">
        <v>-290</v>
      </c>
      <c r="G143" s="38" t="n">
        <v>-300</v>
      </c>
      <c r="H143" s="38" t="n">
        <v>-310</v>
      </c>
      <c r="I143" s="38" t="n">
        <v>-315</v>
      </c>
    </row>
    <row r="144" customFormat="false" ht="15" hidden="false" customHeight="true" outlineLevel="0" collapsed="false">
      <c r="A144" s="13" t="s">
        <v>218</v>
      </c>
      <c r="E144" s="61" t="n">
        <f aca="false">-'Income Statement'!E32</f>
        <v>421.864915913174</v>
      </c>
      <c r="F144" s="61" t="n">
        <f aca="false">-'Income Statement'!F32</f>
        <v>518.656582579841</v>
      </c>
      <c r="G144" s="61" t="n">
        <f aca="false">-'Income Statement'!G32</f>
        <v>530.401582579841</v>
      </c>
      <c r="H144" s="61" t="n">
        <f aca="false">-'Income Statement'!H32</f>
        <v>542.754082579841</v>
      </c>
      <c r="I144" s="61" t="n">
        <f aca="false">-'Income Statement'!I32</f>
        <v>555.511582579841</v>
      </c>
    </row>
    <row r="145" customFormat="false" ht="15" hidden="false" customHeight="true" outlineLevel="0" collapsed="false">
      <c r="A145" s="19" t="s">
        <v>88</v>
      </c>
      <c r="E145" s="36" t="n">
        <f aca="false">E142+E143+E144</f>
        <v>1094.70334909075</v>
      </c>
      <c r="F145" s="36" t="n">
        <f aca="false">F142+F143+F144</f>
        <v>578.54423663917</v>
      </c>
      <c r="G145" s="36" t="n">
        <f aca="false">G142+G143+G144</f>
        <v>540.906555533347</v>
      </c>
      <c r="H145" s="36" t="n">
        <f aca="false">H142+H143+H144</f>
        <v>590.54170276697</v>
      </c>
      <c r="I145" s="36" t="n">
        <f aca="false">I142+I143+I144</f>
        <v>648.248537678026</v>
      </c>
    </row>
    <row r="146" customFormat="false" ht="15" hidden="false" customHeight="true" outlineLevel="0" collapsed="false">
      <c r="A146" s="16" t="s">
        <v>89</v>
      </c>
      <c r="E146" s="23" t="n">
        <f aca="false">E145/E125</f>
        <v>0.295673981495989</v>
      </c>
      <c r="F146" s="23" t="n">
        <f aca="false">F145/F125</f>
        <v>0.132894803289192</v>
      </c>
      <c r="G146" s="23" t="n">
        <f aca="false">G145/G125</f>
        <v>0.117362586227225</v>
      </c>
      <c r="H146" s="23" t="n">
        <f aca="false">H145/H125</f>
        <v>0.120913534555072</v>
      </c>
      <c r="I146" s="23" t="n">
        <f aca="false">I145/I125</f>
        <v>0.127693443973925</v>
      </c>
    </row>
    <row r="147" customFormat="false" ht="15" hidden="false" customHeight="true" outlineLevel="0" collapsed="false">
      <c r="A147" s="19" t="s">
        <v>91</v>
      </c>
      <c r="E147" s="36" t="n">
        <f aca="false">E145-E144</f>
        <v>672.838433177574</v>
      </c>
      <c r="F147" s="36" t="n">
        <f aca="false">F145-F144</f>
        <v>59.8876540593287</v>
      </c>
      <c r="G147" s="36" t="n">
        <f aca="false">G145-G144</f>
        <v>10.5049729535058</v>
      </c>
      <c r="H147" s="36" t="n">
        <f aca="false">H145-H144</f>
        <v>47.7876201871295</v>
      </c>
      <c r="I147" s="36" t="n">
        <f aca="false">I145-I144</f>
        <v>92.7369550981848</v>
      </c>
    </row>
    <row r="148" customFormat="false" ht="15" hidden="false" customHeight="true" outlineLevel="0" collapsed="false">
      <c r="A148" s="9" t="s">
        <v>451</v>
      </c>
      <c r="E148" s="38" t="n">
        <v>-85</v>
      </c>
      <c r="F148" s="38" t="n">
        <v>-200</v>
      </c>
      <c r="G148" s="38" t="n">
        <v>-170</v>
      </c>
      <c r="H148" s="38" t="n">
        <v>-148</v>
      </c>
      <c r="I148" s="38" t="n">
        <v>-125</v>
      </c>
    </row>
    <row r="149" customFormat="false" ht="15" hidden="false" customHeight="true" outlineLevel="0" collapsed="false">
      <c r="A149" s="19" t="s">
        <v>229</v>
      </c>
      <c r="E149" s="36" t="n">
        <f aca="false">E147+E148</f>
        <v>587.838433177574</v>
      </c>
      <c r="F149" s="36" t="n">
        <f aca="false">F147+F148</f>
        <v>-140.112345940671</v>
      </c>
      <c r="G149" s="36" t="n">
        <f aca="false">G147+G148</f>
        <v>-159.495027046494</v>
      </c>
      <c r="H149" s="36" t="n">
        <f aca="false">H147+H148</f>
        <v>-100.212379812871</v>
      </c>
      <c r="I149" s="36" t="n">
        <f aca="false">I147+I148</f>
        <v>-32.2630449018152</v>
      </c>
    </row>
    <row r="150" customFormat="false" ht="15" hidden="false" customHeight="true" outlineLevel="0" collapsed="false">
      <c r="A150" s="13" t="s">
        <v>230</v>
      </c>
      <c r="E150" s="25" t="n">
        <v>0.015</v>
      </c>
      <c r="F150" s="25" t="n">
        <v>0.15</v>
      </c>
      <c r="G150" s="25" t="n">
        <v>0.15</v>
      </c>
      <c r="H150" s="25" t="n">
        <v>0.15</v>
      </c>
      <c r="I150" s="25" t="n">
        <v>0.15</v>
      </c>
    </row>
    <row r="151" customFormat="false" ht="15" hidden="false" customHeight="true" outlineLevel="0" collapsed="false">
      <c r="A151" s="19" t="s">
        <v>452</v>
      </c>
      <c r="E151" s="36" t="n">
        <f aca="false">E149*(1-E150)</f>
        <v>579.020856679911</v>
      </c>
      <c r="F151" s="36" t="n">
        <f aca="false">F149*(1-F150)</f>
        <v>-119.095494049571</v>
      </c>
      <c r="G151" s="36" t="n">
        <f aca="false">G149*(1-G150)</f>
        <v>-135.57077298952</v>
      </c>
      <c r="H151" s="36" t="n">
        <f aca="false">H149*(1-H150)</f>
        <v>-85.1805228409399</v>
      </c>
      <c r="I151" s="36" t="n">
        <f aca="false">I149*(1-I150)</f>
        <v>-27.4235881665429</v>
      </c>
    </row>
    <row r="152" customFormat="false" ht="15" hidden="false" customHeight="true" outlineLevel="0" collapsed="false">
      <c r="A152" s="19" t="s">
        <v>453</v>
      </c>
      <c r="E152" s="70" t="n">
        <f aca="false">E151/1416.048/2.659575*1000</f>
        <v>153.746058445255</v>
      </c>
      <c r="F152" s="70" t="n">
        <f aca="false">F151/1416.048/2.659575*1000</f>
        <v>-31.6231489375072</v>
      </c>
      <c r="G152" s="70" t="n">
        <f aca="false">G151/1416.048/2.659575*1000</f>
        <v>-35.9977913525103</v>
      </c>
      <c r="H152" s="70" t="n">
        <f aca="false">H151/1416.048/2.659575*1000</f>
        <v>-22.617785684256</v>
      </c>
      <c r="I152" s="70" t="n">
        <f aca="false">I151/1416.048/2.659575*1000</f>
        <v>-7.28172144472978</v>
      </c>
    </row>
    <row r="153" customFormat="false" ht="15" hidden="false" customHeight="true" outlineLevel="0" collapsed="false">
      <c r="A153" s="13" t="s">
        <v>454</v>
      </c>
      <c r="E153" s="38" t="n">
        <v>240</v>
      </c>
      <c r="F153" s="38" t="n">
        <v>300</v>
      </c>
      <c r="G153" s="38" t="n">
        <v>330</v>
      </c>
      <c r="H153" s="38" t="n">
        <v>340</v>
      </c>
      <c r="I153" s="38" t="n">
        <v>350</v>
      </c>
    </row>
    <row r="154" customFormat="false" ht="15" hidden="false" customHeight="true" outlineLevel="0" collapsed="false">
      <c r="A154" s="16" t="s">
        <v>455</v>
      </c>
      <c r="E154" s="44" t="n">
        <f aca="false">0.275*E125</f>
        <v>1018.16</v>
      </c>
      <c r="F154" s="44" t="n">
        <f aca="false">0.275*F125</f>
        <v>1197.185</v>
      </c>
      <c r="G154" s="44" t="n">
        <f aca="false">0.275*G125</f>
        <v>1267.43375</v>
      </c>
      <c r="H154" s="44" t="n">
        <f aca="false">0.275*H125</f>
        <v>1343.1</v>
      </c>
      <c r="I154" s="44" t="n">
        <f aca="false">0.275*I125</f>
        <v>1396.065</v>
      </c>
    </row>
    <row r="155" customFormat="false" ht="15" hidden="false" customHeight="true" outlineLevel="0" collapsed="false">
      <c r="A155" s="16" t="s">
        <v>456</v>
      </c>
      <c r="E155" s="44" t="n">
        <f aca="false">E154-1300.97</f>
        <v>-282.81</v>
      </c>
      <c r="F155" s="44" t="n">
        <f aca="false">F154-E154</f>
        <v>179.025</v>
      </c>
      <c r="G155" s="44" t="n">
        <f aca="false">G154-F154</f>
        <v>70.2487500000002</v>
      </c>
      <c r="H155" s="44" t="n">
        <f aca="false">H154-G154</f>
        <v>75.66625</v>
      </c>
      <c r="I155" s="44" t="n">
        <f aca="false">I154-H154</f>
        <v>52.9650000000001</v>
      </c>
    </row>
    <row r="156" customFormat="false" ht="15" hidden="false" customHeight="true" outlineLevel="0" collapsed="false">
      <c r="A156" s="19" t="s">
        <v>457</v>
      </c>
      <c r="E156" s="36" t="n">
        <f aca="false">E145+E148-E149*E150-E153-E155</f>
        <v>1043.69577259308</v>
      </c>
      <c r="F156" s="36" t="n">
        <f aca="false">F145+F148-F149*F150-F153-F155</f>
        <v>-79.4639114697295</v>
      </c>
      <c r="G156" s="36" t="n">
        <f aca="false">G145+G148-G149*G150-G153-G155</f>
        <v>-5.41794040967938</v>
      </c>
      <c r="H156" s="36" t="n">
        <f aca="false">H145+H148-H149*H150-H153-H155</f>
        <v>41.907309738901</v>
      </c>
      <c r="I156" s="36" t="n">
        <f aca="false">I145+I148-I149*I150-I153-I155</f>
        <v>125.122994413298</v>
      </c>
    </row>
    <row r="157" customFormat="false" ht="15" hidden="false" customHeight="true" outlineLevel="0" collapsed="false">
      <c r="A157" s="13" t="s">
        <v>300</v>
      </c>
      <c r="E157" s="27" t="n">
        <f aca="false">-0.25*581.6</f>
        <v>-145.4</v>
      </c>
      <c r="F157" s="27" t="n">
        <f aca="false">-0.25*E151</f>
        <v>-144.755214169978</v>
      </c>
      <c r="G157" s="27" t="n">
        <f aca="false">-0.25*F151</f>
        <v>29.7738735123926</v>
      </c>
      <c r="H157" s="27" t="n">
        <f aca="false">-0.25*G151</f>
        <v>33.89269324738</v>
      </c>
      <c r="I157" s="27" t="n">
        <f aca="false">-0.25*H151</f>
        <v>21.295130710235</v>
      </c>
    </row>
    <row r="158" customFormat="false" ht="15" hidden="false" customHeight="true" outlineLevel="0" collapsed="false">
      <c r="A158" s="13" t="s">
        <v>458</v>
      </c>
      <c r="E158" s="38" t="n">
        <f aca="false">-2083</f>
        <v>-2083</v>
      </c>
      <c r="F158" s="38" t="n">
        <v>0</v>
      </c>
      <c r="G158" s="38" t="n">
        <v>0</v>
      </c>
      <c r="H158" s="38" t="n">
        <v>0</v>
      </c>
      <c r="I158" s="38" t="n">
        <v>0</v>
      </c>
    </row>
    <row r="159" customFormat="false" ht="15" hidden="false" customHeight="true" outlineLevel="0" collapsed="false">
      <c r="A159" s="19" t="s">
        <v>459</v>
      </c>
      <c r="E159" s="36" t="n">
        <f aca="false">564-E156-E157-E158</f>
        <v>1748.70422740692</v>
      </c>
      <c r="F159" s="36" t="n">
        <f aca="false">E159-F156-F157-F158</f>
        <v>1972.92335304662</v>
      </c>
      <c r="G159" s="36" t="n">
        <f aca="false">F159-G156-G157-G158</f>
        <v>1948.56741994391</v>
      </c>
      <c r="H159" s="36" t="n">
        <f aca="false">G159-H156-H157-H158</f>
        <v>1872.76741695763</v>
      </c>
      <c r="I159" s="36" t="n">
        <f aca="false">H159-I156-I157-I158</f>
        <v>1726.3492918341</v>
      </c>
    </row>
    <row r="160" customFormat="false" ht="15" hidden="false" customHeight="true" outlineLevel="0" collapsed="false">
      <c r="A160" s="104" t="s">
        <v>412</v>
      </c>
      <c r="B160" s="41"/>
      <c r="C160" s="41"/>
      <c r="D160" s="41"/>
      <c r="E160" s="105" t="n">
        <f aca="false">E159/E145</f>
        <v>1.59742292636574</v>
      </c>
      <c r="F160" s="105" t="n">
        <f aca="false">F159/F145</f>
        <v>3.41015125223192</v>
      </c>
      <c r="G160" s="105" t="n">
        <f aca="false">G159/G145</f>
        <v>3.60241043487183</v>
      </c>
      <c r="H160" s="105" t="n">
        <f aca="false">H159/H145</f>
        <v>3.17127039154528</v>
      </c>
      <c r="I160" s="105" t="n">
        <f aca="false">I159/I145</f>
        <v>2.66309785752505</v>
      </c>
    </row>
    <row r="162" customFormat="false" ht="15" hidden="false" customHeight="true" outlineLevel="0" collapsed="false">
      <c r="A162" s="6" t="s">
        <v>462</v>
      </c>
      <c r="B162" s="7"/>
      <c r="C162" s="7"/>
      <c r="D162" s="7"/>
      <c r="E162" s="7"/>
      <c r="F162" s="7"/>
      <c r="G162" s="7"/>
      <c r="H162" s="7"/>
      <c r="I162" s="7"/>
      <c r="K162" s="7"/>
    </row>
    <row r="163" customFormat="false" ht="15" hidden="false" customHeight="true" outlineLevel="0" collapsed="false">
      <c r="B163" s="4" t="s">
        <v>463</v>
      </c>
      <c r="C163" s="4" t="s">
        <v>464</v>
      </c>
      <c r="D163" s="4" t="s">
        <v>465</v>
      </c>
    </row>
    <row r="164" customFormat="false" ht="15" hidden="false" customHeight="true" outlineLevel="0" collapsed="false">
      <c r="A164" s="9" t="s">
        <v>466</v>
      </c>
      <c r="B164" s="26" t="n">
        <f aca="false">F27</f>
        <v>6621</v>
      </c>
      <c r="C164" s="26" t="n">
        <f aca="false">F76</f>
        <v>5373.55</v>
      </c>
      <c r="D164" s="26" t="n">
        <f aca="false">F125</f>
        <v>4353.4</v>
      </c>
    </row>
    <row r="165" customFormat="false" ht="15" hidden="false" customHeight="true" outlineLevel="0" collapsed="false">
      <c r="A165" s="9" t="s">
        <v>467</v>
      </c>
      <c r="B165" s="26" t="n">
        <f aca="false">F47</f>
        <v>2578.7115298836</v>
      </c>
      <c r="C165" s="26" t="n">
        <f aca="false">F96</f>
        <v>1619.35860584903</v>
      </c>
      <c r="D165" s="26" t="n">
        <f aca="false">F145</f>
        <v>578.54423663917</v>
      </c>
    </row>
    <row r="166" customFormat="false" ht="15" hidden="false" customHeight="true" outlineLevel="0" collapsed="false">
      <c r="A166" s="9" t="s">
        <v>468</v>
      </c>
      <c r="B166" s="14" t="n">
        <f aca="false">F48</f>
        <v>0.389474630702855</v>
      </c>
      <c r="C166" s="14" t="n">
        <f aca="false">F97</f>
        <v>0.301357316085089</v>
      </c>
      <c r="D166" s="14" t="n">
        <f aca="false">F146</f>
        <v>0.132894803289192</v>
      </c>
    </row>
    <row r="167" customFormat="false" ht="15" hidden="false" customHeight="true" outlineLevel="0" collapsed="false">
      <c r="A167" s="9" t="s">
        <v>469</v>
      </c>
      <c r="B167" s="26" t="n">
        <f aca="false">F53</f>
        <v>1851.85412309421</v>
      </c>
      <c r="C167" s="26" t="n">
        <f aca="false">F102</f>
        <v>870.512945404155</v>
      </c>
      <c r="D167" s="26" t="n">
        <f aca="false">F151</f>
        <v>-119.095494049571</v>
      </c>
    </row>
    <row r="168" customFormat="false" ht="15" hidden="false" customHeight="true" outlineLevel="0" collapsed="false">
      <c r="A168" s="9" t="s">
        <v>470</v>
      </c>
      <c r="B168" s="71" t="n">
        <f aca="false">F54</f>
        <v>491.718508852821</v>
      </c>
      <c r="C168" s="71" t="n">
        <f aca="false">F103</f>
        <v>231.145273330708</v>
      </c>
      <c r="D168" s="71" t="n">
        <f aca="false">F152</f>
        <v>-31.6231489375072</v>
      </c>
    </row>
    <row r="169" customFormat="false" ht="15" hidden="false" customHeight="true" outlineLevel="0" collapsed="false">
      <c r="A169" s="9" t="s">
        <v>471</v>
      </c>
      <c r="B169" s="26" t="n">
        <f aca="false">I27</f>
        <v>6664.075</v>
      </c>
      <c r="C169" s="26" t="n">
        <f aca="false">I76</f>
        <v>5840.6</v>
      </c>
      <c r="D169" s="26" t="n">
        <f aca="false">I125</f>
        <v>5076.6</v>
      </c>
    </row>
    <row r="170" customFormat="false" ht="15" hidden="false" customHeight="true" outlineLevel="0" collapsed="false">
      <c r="A170" s="9" t="s">
        <v>472</v>
      </c>
      <c r="B170" s="26" t="n">
        <f aca="false">I47</f>
        <v>2023.69819580664</v>
      </c>
      <c r="C170" s="26" t="n">
        <f aca="false">I96</f>
        <v>1263.59785120143</v>
      </c>
      <c r="D170" s="26" t="n">
        <f aca="false">I145</f>
        <v>648.248537678026</v>
      </c>
    </row>
    <row r="171" customFormat="false" ht="15" hidden="false" customHeight="true" outlineLevel="0" collapsed="false">
      <c r="A171" s="9" t="s">
        <v>473</v>
      </c>
      <c r="B171" s="14" t="n">
        <f aca="false">I48</f>
        <v>0.303672782165063</v>
      </c>
      <c r="C171" s="14" t="n">
        <f aca="false">I97</f>
        <v>0.216347267609737</v>
      </c>
      <c r="D171" s="14" t="n">
        <f aca="false">I146</f>
        <v>0.127693443973925</v>
      </c>
    </row>
    <row r="172" customFormat="false" ht="15" hidden="false" customHeight="true" outlineLevel="0" collapsed="false">
      <c r="A172" s="9" t="s">
        <v>474</v>
      </c>
      <c r="B172" s="26" t="n">
        <f aca="false">I53</f>
        <v>1401.8388140284</v>
      </c>
      <c r="C172" s="26" t="n">
        <f aca="false">I102</f>
        <v>555.548056505949</v>
      </c>
      <c r="D172" s="26" t="n">
        <f aca="false">I151</f>
        <v>-27.4235881665429</v>
      </c>
    </row>
    <row r="173" customFormat="false" ht="15" hidden="false" customHeight="true" outlineLevel="0" collapsed="false">
      <c r="A173" s="9" t="s">
        <v>475</v>
      </c>
      <c r="B173" s="71" t="n">
        <f aca="false">I54</f>
        <v>372.226992768904</v>
      </c>
      <c r="C173" s="71" t="n">
        <f aca="false">I103</f>
        <v>147.513380527377</v>
      </c>
      <c r="D173" s="71" t="n">
        <f aca="false">I152</f>
        <v>-7.28172144472978</v>
      </c>
    </row>
    <row r="174" customFormat="false" ht="15" hidden="false" customHeight="true" outlineLevel="0" collapsed="false">
      <c r="A174" s="9" t="s">
        <v>476</v>
      </c>
      <c r="B174" s="26" t="n">
        <f aca="false">I58</f>
        <v>1666.74789660824</v>
      </c>
      <c r="C174" s="26" t="n">
        <f aca="false">I107</f>
        <v>741.85338908579</v>
      </c>
      <c r="D174" s="26" t="n">
        <f aca="false">I156</f>
        <v>125.122994413298</v>
      </c>
    </row>
    <row r="175" customFormat="false" ht="15" hidden="false" customHeight="true" outlineLevel="0" collapsed="false">
      <c r="A175" s="9" t="s">
        <v>477</v>
      </c>
      <c r="B175" s="26" t="n">
        <f aca="false">I61</f>
        <v>-2814.3533791855</v>
      </c>
      <c r="C175" s="26" t="n">
        <f aca="false">I110</f>
        <v>-229.406373860307</v>
      </c>
      <c r="D175" s="26" t="n">
        <f aca="false">I159</f>
        <v>1726.3492918341</v>
      </c>
    </row>
    <row r="176" customFormat="false" ht="15" hidden="false" customHeight="true" outlineLevel="0" collapsed="false">
      <c r="A176" s="9" t="s">
        <v>478</v>
      </c>
      <c r="B176" s="107" t="n">
        <f aca="false">I62</f>
        <v>-1.39069817081282</v>
      </c>
      <c r="C176" s="107" t="n">
        <f aca="false">I111</f>
        <v>-0.181550145595916</v>
      </c>
      <c r="D176" s="107" t="n">
        <f aca="false">I160</f>
        <v>2.66309785752505</v>
      </c>
    </row>
    <row r="177" customFormat="false" ht="15" hidden="false" customHeight="true" outlineLevel="0" collapsed="false">
      <c r="A177" s="9" t="s">
        <v>479</v>
      </c>
      <c r="B177" s="50" t="n">
        <f aca="false">I17</f>
        <v>3100</v>
      </c>
      <c r="C177" s="50" t="n">
        <f aca="false">I66</f>
        <v>2750</v>
      </c>
      <c r="D177" s="50" t="n">
        <f aca="false">I115</f>
        <v>2500</v>
      </c>
    </row>
    <row r="178" customFormat="false" ht="15" hidden="false" customHeight="true" outlineLevel="0" collapsed="false">
      <c r="A178" s="9" t="s">
        <v>480</v>
      </c>
      <c r="B178" s="26" t="n">
        <f aca="false">I21</f>
        <v>1620</v>
      </c>
      <c r="C178" s="26" t="n">
        <f aca="false">I70</f>
        <v>1620</v>
      </c>
      <c r="D178" s="26" t="n">
        <f aca="false">I119</f>
        <v>1550</v>
      </c>
    </row>
    <row r="179" customFormat="false" ht="15" hidden="false" customHeight="true" outlineLevel="0" collapsed="false">
      <c r="A179" s="19" t="s">
        <v>320</v>
      </c>
      <c r="B179" s="35" t="n">
        <f aca="false">SUM(E58:I58)</f>
        <v>8150.40434180188</v>
      </c>
      <c r="C179" s="35" t="n">
        <f aca="false">SUM(E107:I107)</f>
        <v>4119.42575831052</v>
      </c>
      <c r="D179" s="35" t="n">
        <f aca="false">SUM(E156:I156)</f>
        <v>1125.84422486587</v>
      </c>
    </row>
    <row r="180" customFormat="false" ht="15" hidden="false" customHeight="true" outlineLevel="0" collapsed="false">
      <c r="A180" s="19" t="s">
        <v>481</v>
      </c>
      <c r="B180" s="35" t="n">
        <f aca="false">SUM(E47:I47)</f>
        <v>10729.9209498562</v>
      </c>
      <c r="C180" s="35" t="n">
        <f aca="false">SUM(E96:I96)</f>
        <v>7046.33769149076</v>
      </c>
      <c r="D180" s="35" t="n">
        <f aca="false">SUM(E145:I145)</f>
        <v>3452.94438170826</v>
      </c>
    </row>
    <row r="182" customFormat="false" ht="39.75" hidden="false" customHeight="true" outlineLevel="0" collapsed="false">
      <c r="A182" s="3" t="s">
        <v>482</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Aluminium Bahrain B.S.C. (Alba)  |  BHB: ALBH  |  Financial model, 28 August 2026&amp;R&amp;8 Al Ramz Investment Research  |  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true"/>
  </sheetPr>
  <dimension ref="A1:K8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78"/>
  </cols>
  <sheetData>
    <row r="1" customFormat="false" ht="15.75" hidden="false" customHeight="true" outlineLevel="0" collapsed="false">
      <c r="A1" s="2" t="s">
        <v>483</v>
      </c>
    </row>
    <row r="2" customFormat="false" ht="15" hidden="false" customHeight="true" outlineLevel="0" collapsed="false">
      <c r="A2" s="3" t="s">
        <v>484</v>
      </c>
    </row>
    <row r="4" customFormat="false" ht="15" hidden="false" customHeight="true" outlineLevel="0" collapsed="false">
      <c r="B4" s="4" t="s">
        <v>2</v>
      </c>
      <c r="C4" s="4" t="s">
        <v>3</v>
      </c>
      <c r="D4" s="4" t="s">
        <v>4</v>
      </c>
      <c r="E4" s="4" t="s">
        <v>5</v>
      </c>
      <c r="F4" s="4" t="s">
        <v>6</v>
      </c>
      <c r="G4" s="4" t="s">
        <v>7</v>
      </c>
      <c r="H4" s="4" t="s">
        <v>8</v>
      </c>
      <c r="I4" s="4" t="s">
        <v>9</v>
      </c>
      <c r="K4" s="5" t="s">
        <v>10</v>
      </c>
    </row>
    <row r="6" customFormat="false" ht="15" hidden="false" customHeight="true" outlineLevel="0" collapsed="false">
      <c r="A6" s="6" t="s">
        <v>485</v>
      </c>
      <c r="B6" s="7"/>
      <c r="C6" s="7"/>
      <c r="D6" s="7"/>
      <c r="E6" s="7"/>
      <c r="F6" s="7"/>
      <c r="G6" s="7"/>
      <c r="H6" s="7"/>
      <c r="I6" s="7"/>
      <c r="K6" s="7"/>
    </row>
    <row r="7" customFormat="false" ht="15" hidden="false" customHeight="true" outlineLevel="0" collapsed="false">
      <c r="A7" s="9" t="s">
        <v>486</v>
      </c>
      <c r="B7" s="60" t="n">
        <f aca="false">'Income Statement'!B34</f>
        <v>447.438835156501</v>
      </c>
      <c r="C7" s="60" t="n">
        <f aca="false">'Income Statement'!C34</f>
        <v>572.4760706995</v>
      </c>
      <c r="D7" s="60" t="n">
        <f aca="false">'Income Statement'!D34</f>
        <v>670.0133059125</v>
      </c>
      <c r="E7" s="61" t="n">
        <f aca="false">'Income Statement'!E34</f>
        <v>707.287951484083</v>
      </c>
      <c r="F7" s="61" t="n">
        <f aca="false">'Income Statement'!F34</f>
        <v>1100.70202326919</v>
      </c>
      <c r="G7" s="61" t="n">
        <f aca="false">'Income Statement'!G34</f>
        <v>1110.42177532153</v>
      </c>
      <c r="H7" s="61" t="n">
        <f aca="false">'Income Statement'!H34</f>
        <v>850.650926561833</v>
      </c>
      <c r="I7" s="61" t="n">
        <f aca="false">'Income Statement'!I34</f>
        <v>708.086268621588</v>
      </c>
    </row>
    <row r="8" customFormat="false" ht="15" hidden="false" customHeight="true" outlineLevel="0" collapsed="false">
      <c r="A8" s="13" t="s">
        <v>487</v>
      </c>
      <c r="B8" s="75" t="n">
        <f aca="false">'Income Statement'!B42</f>
        <v>0.00141295519155273</v>
      </c>
      <c r="C8" s="75" t="n">
        <f aca="false">'Income Statement'!C42</f>
        <v>0.00226534242353793</v>
      </c>
      <c r="D8" s="75" t="n">
        <f aca="false">'Income Statement'!D42</f>
        <v>0.0108375587449058</v>
      </c>
      <c r="E8" s="76" t="n">
        <f aca="false">'Income Statement'!E42</f>
        <v>0.015</v>
      </c>
      <c r="F8" s="76" t="n">
        <f aca="false">'Income Statement'!F42</f>
        <v>0.05</v>
      </c>
      <c r="G8" s="76" t="n">
        <f aca="false">'Income Statement'!G42</f>
        <v>0.15</v>
      </c>
      <c r="H8" s="76" t="n">
        <f aca="false">'Income Statement'!H42</f>
        <v>0.15</v>
      </c>
      <c r="I8" s="76" t="n">
        <f aca="false">'Income Statement'!I42</f>
        <v>0.15</v>
      </c>
    </row>
    <row r="9" customFormat="false" ht="15" hidden="false" customHeight="true" outlineLevel="0" collapsed="false">
      <c r="A9" s="13" t="s">
        <v>488</v>
      </c>
      <c r="B9" s="26" t="n">
        <f aca="false">-B7*B8</f>
        <v>-0.632211025036682</v>
      </c>
      <c r="C9" s="26" t="n">
        <f aca="false">-C7*C8</f>
        <v>-1.29685432941588</v>
      </c>
      <c r="D9" s="26" t="n">
        <f aca="false">-D7*D8</f>
        <v>-7.26130856269523</v>
      </c>
      <c r="E9" s="27" t="n">
        <f aca="false">-E7*E8</f>
        <v>-10.6093192722612</v>
      </c>
      <c r="F9" s="27" t="n">
        <f aca="false">-F7*F8</f>
        <v>-55.0351011634595</v>
      </c>
      <c r="G9" s="27" t="n">
        <f aca="false">-G7*G8</f>
        <v>-166.563266298229</v>
      </c>
      <c r="H9" s="27" t="n">
        <f aca="false">-H7*H8</f>
        <v>-127.597638984275</v>
      </c>
      <c r="I9" s="27" t="n">
        <f aca="false">-I7*I8</f>
        <v>-106.212940293238</v>
      </c>
    </row>
    <row r="10" customFormat="false" ht="15" hidden="false" customHeight="true" outlineLevel="0" collapsed="false">
      <c r="A10" s="19" t="s">
        <v>489</v>
      </c>
      <c r="B10" s="35" t="n">
        <f aca="false">B7*(1-B8)</f>
        <v>446.806624131464</v>
      </c>
      <c r="C10" s="35" t="n">
        <f aca="false">C7*(1-C8)</f>
        <v>571.179216370085</v>
      </c>
      <c r="D10" s="35" t="n">
        <f aca="false">D7*(1-D8)</f>
        <v>662.751997349805</v>
      </c>
      <c r="E10" s="36" t="n">
        <f aca="false">E7*(1-E8)</f>
        <v>696.678632211822</v>
      </c>
      <c r="F10" s="36" t="n">
        <f aca="false">F7*(1-F8)</f>
        <v>1045.66692210573</v>
      </c>
      <c r="G10" s="36" t="n">
        <f aca="false">G7*(1-G8)</f>
        <v>943.858509023298</v>
      </c>
      <c r="H10" s="36" t="n">
        <f aca="false">H7*(1-H8)</f>
        <v>723.053287577558</v>
      </c>
      <c r="I10" s="36" t="n">
        <f aca="false">I7*(1-I8)</f>
        <v>601.87332832835</v>
      </c>
    </row>
    <row r="11" customFormat="false" ht="15" hidden="false" customHeight="true" outlineLevel="0" collapsed="false">
      <c r="A11" s="13" t="s">
        <v>490</v>
      </c>
      <c r="B11" s="60" t="n">
        <f aca="false">-'Income Statement'!B32</f>
        <v>356.0771319325</v>
      </c>
      <c r="C11" s="60" t="n">
        <f aca="false">-'Income Statement'!C32</f>
        <v>366.6728767405</v>
      </c>
      <c r="D11" s="60" t="n">
        <f aca="false">-'Income Statement'!D32</f>
        <v>408.3750049005</v>
      </c>
      <c r="E11" s="61" t="n">
        <f aca="false">-'Income Statement'!E32</f>
        <v>421.864915913174</v>
      </c>
      <c r="F11" s="61" t="n">
        <f aca="false">-'Income Statement'!F32</f>
        <v>518.656582579841</v>
      </c>
      <c r="G11" s="61" t="n">
        <f aca="false">-'Income Statement'!G32</f>
        <v>530.401582579841</v>
      </c>
      <c r="H11" s="61" t="n">
        <f aca="false">-'Income Statement'!H32</f>
        <v>542.754082579841</v>
      </c>
      <c r="I11" s="61" t="n">
        <f aca="false">-'Income Statement'!I32</f>
        <v>555.511582579841</v>
      </c>
    </row>
    <row r="12" customFormat="false" ht="15" hidden="false" customHeight="true" outlineLevel="0" collapsed="false">
      <c r="A12" s="13" t="s">
        <v>491</v>
      </c>
      <c r="B12" s="60" t="n">
        <f aca="false">'Cash Flow Statement'!B26+'Cash Flow Statement'!B27</f>
        <v>-352.4654297615</v>
      </c>
      <c r="C12" s="60" t="n">
        <f aca="false">'Cash Flow Statement'!C26+'Cash Flow Statement'!C27</f>
        <v>-276.585109702</v>
      </c>
      <c r="D12" s="60" t="n">
        <f aca="false">'Cash Flow Statement'!D26+'Cash Flow Statement'!D27</f>
        <v>-285.9547906655</v>
      </c>
      <c r="E12" s="61" t="n">
        <f aca="false">'Cash Flow Statement'!E26+'Cash Flow Statement'!E27</f>
        <v>-220</v>
      </c>
      <c r="F12" s="61" t="n">
        <f aca="false">'Cash Flow Statement'!F26+'Cash Flow Statement'!F27</f>
        <v>-340</v>
      </c>
      <c r="G12" s="61" t="n">
        <f aca="false">'Cash Flow Statement'!G26+'Cash Flow Statement'!G27</f>
        <v>-360</v>
      </c>
      <c r="H12" s="61" t="n">
        <f aca="false">'Cash Flow Statement'!H26+'Cash Flow Statement'!H27</f>
        <v>-370</v>
      </c>
      <c r="I12" s="61" t="n">
        <f aca="false">'Cash Flow Statement'!I26+'Cash Flow Statement'!I27</f>
        <v>-380</v>
      </c>
    </row>
    <row r="13" customFormat="false" ht="15" hidden="false" customHeight="true" outlineLevel="0" collapsed="false">
      <c r="A13" s="13" t="s">
        <v>409</v>
      </c>
      <c r="B13" s="60" t="n">
        <f aca="false">'Balance Sheet'!B86</f>
        <v>1085.787247072</v>
      </c>
      <c r="C13" s="60" t="n">
        <f aca="false">'Balance Sheet'!C86</f>
        <v>1233.319163736</v>
      </c>
      <c r="D13" s="60" t="n">
        <f aca="false">'Balance Sheet'!D86</f>
        <v>1300.760653907</v>
      </c>
      <c r="E13" s="61" t="n">
        <f aca="false">'Balance Sheet'!E86</f>
        <v>1207.61852802412</v>
      </c>
      <c r="F13" s="61" t="n">
        <f aca="false">'Balance Sheet'!F86</f>
        <v>1402.48770611502</v>
      </c>
      <c r="G13" s="61" t="n">
        <f aca="false">'Balance Sheet'!G86</f>
        <v>1524.95722077889</v>
      </c>
      <c r="H13" s="61" t="n">
        <f aca="false">'Balance Sheet'!H86</f>
        <v>1585.86261976819</v>
      </c>
      <c r="I13" s="61" t="n">
        <f aca="false">'Balance Sheet'!I86</f>
        <v>1593.70631171968</v>
      </c>
    </row>
    <row r="14" customFormat="false" ht="15" hidden="false" customHeight="true" outlineLevel="0" collapsed="false">
      <c r="A14" s="13" t="s">
        <v>492</v>
      </c>
      <c r="C14" s="26" t="n">
        <f aca="false">-(C13-B13)</f>
        <v>-147.531916664</v>
      </c>
      <c r="D14" s="26" t="n">
        <f aca="false">-(D13-C13)</f>
        <v>-67.4414901709999</v>
      </c>
      <c r="E14" s="27" t="n">
        <f aca="false">-(E13-D13-'Revenue Model'!$B$105-'Revenue Model'!$B$106-'Revenue Model'!$B$107)</f>
        <v>293.142125882881</v>
      </c>
      <c r="F14" s="27" t="n">
        <f aca="false">-(F13-E13)</f>
        <v>-194.869178090906</v>
      </c>
      <c r="G14" s="27" t="n">
        <f aca="false">-(G13-F13)</f>
        <v>-122.469514663863</v>
      </c>
      <c r="H14" s="27" t="n">
        <f aca="false">-(H13-G13)</f>
        <v>-60.9053989893066</v>
      </c>
      <c r="I14" s="27" t="n">
        <f aca="false">-(I13-H13)</f>
        <v>-7.84369195148884</v>
      </c>
      <c r="K14" s="12" t="s">
        <v>493</v>
      </c>
    </row>
    <row r="15" customFormat="false" ht="15" hidden="false" customHeight="true" outlineLevel="0" collapsed="false">
      <c r="A15" s="19" t="s">
        <v>485</v>
      </c>
      <c r="B15" s="35" t="n">
        <f aca="false">B10+B11+B12+B14</f>
        <v>450.418326302464</v>
      </c>
      <c r="C15" s="35" t="n">
        <f aca="false">C10+C11+C12+C14</f>
        <v>513.735066744584</v>
      </c>
      <c r="D15" s="35" t="n">
        <f aca="false">D10+D11+D12+D14</f>
        <v>717.730721413805</v>
      </c>
      <c r="E15" s="36" t="n">
        <f aca="false">E10+E11+E12+E14</f>
        <v>1191.68567400788</v>
      </c>
      <c r="F15" s="36" t="n">
        <f aca="false">F10+F11+F12+F14</f>
        <v>1029.45432659467</v>
      </c>
      <c r="G15" s="36" t="n">
        <f aca="false">G10+G11+G12+G14</f>
        <v>991.790576939275</v>
      </c>
      <c r="H15" s="36" t="n">
        <f aca="false">H10+H11+H12+H14</f>
        <v>834.901971168092</v>
      </c>
      <c r="I15" s="36" t="n">
        <f aca="false">I10+I11+I12+I14</f>
        <v>769.541218956702</v>
      </c>
    </row>
    <row r="16" customFormat="false" ht="15" hidden="false" customHeight="true" outlineLevel="0" collapsed="false">
      <c r="A16" s="16" t="s">
        <v>494</v>
      </c>
      <c r="B16" s="81" t="n">
        <f aca="false">B15/'Income Statement'!B7</f>
        <v>0.109693899285086</v>
      </c>
      <c r="C16" s="81" t="n">
        <f aca="false">C15/'Income Statement'!C7</f>
        <v>0.119110222415837</v>
      </c>
      <c r="D16" s="81" t="n">
        <f aca="false">D15/'Income Statement'!D7</f>
        <v>0.15171519903236</v>
      </c>
      <c r="E16" s="82" t="n">
        <f aca="false">E15/'Income Statement'!E7</f>
        <v>0.305698702242713</v>
      </c>
      <c r="F16" s="82" t="n">
        <f aca="false">F15/'Income Statement'!F7</f>
        <v>0.191578067868479</v>
      </c>
      <c r="G16" s="82" t="n">
        <f aca="false">G15/'Income Statement'!G7</f>
        <v>0.171020490052899</v>
      </c>
      <c r="H16" s="82" t="n">
        <f aca="false">H15/'Income Statement'!H7</f>
        <v>0.141993753440665</v>
      </c>
      <c r="I16" s="82" t="n">
        <f aca="false">I15/'Income Statement'!I7</f>
        <v>0.131757219969986</v>
      </c>
    </row>
    <row r="17" customFormat="false" ht="15" hidden="false" customHeight="true" outlineLevel="0" collapsed="false">
      <c r="A17" s="28" t="s">
        <v>20</v>
      </c>
      <c r="B17" s="41"/>
      <c r="C17" s="45" t="n">
        <f aca="false">IF(B15&lt;=0,"n.m.",C15/B15-1)</f>
        <v>0.140573188844013</v>
      </c>
      <c r="D17" s="45" t="n">
        <f aca="false">IF(C15&lt;=0,"n.m.",D15/C15-1)</f>
        <v>0.397083375993567</v>
      </c>
      <c r="E17" s="46" t="n">
        <f aca="false">IF(D15&lt;=0,"n.m.",E15/D15-1)</f>
        <v>0.660352049108981</v>
      </c>
      <c r="F17" s="46" t="n">
        <f aca="false">IF(E15&lt;=0,"n.m.",F15/E15-1)</f>
        <v>-0.13613602223445</v>
      </c>
      <c r="G17" s="46" t="n">
        <f aca="false">IF(F15&lt;=0,"n.m.",G15/F15-1)</f>
        <v>-0.0365861298382987</v>
      </c>
      <c r="H17" s="46" t="n">
        <f aca="false">IF(G15&lt;=0,"n.m.",H15/G15-1)</f>
        <v>-0.15818723167884</v>
      </c>
      <c r="I17" s="46" t="n">
        <f aca="false">IF(H15&lt;=0,"n.m.",I15/H15-1)</f>
        <v>-0.0782855406604746</v>
      </c>
    </row>
    <row r="19" customFormat="false" ht="15" hidden="false" customHeight="true" outlineLevel="0" collapsed="false">
      <c r="A19" s="6" t="s">
        <v>495</v>
      </c>
      <c r="B19" s="7"/>
      <c r="C19" s="7"/>
      <c r="D19" s="7"/>
      <c r="E19" s="7"/>
      <c r="F19" s="7"/>
      <c r="G19" s="7"/>
      <c r="H19" s="7"/>
      <c r="I19" s="7"/>
      <c r="K19" s="7"/>
    </row>
    <row r="20" customFormat="false" ht="15" hidden="false" customHeight="true" outlineLevel="0" collapsed="false">
      <c r="A20" s="13" t="s">
        <v>85</v>
      </c>
      <c r="B20" s="60" t="n">
        <f aca="false">'Income Statement'!I7</f>
        <v>5840.6</v>
      </c>
      <c r="K20" s="12" t="s">
        <v>496</v>
      </c>
    </row>
    <row r="21" customFormat="false" ht="15" hidden="false" customHeight="true" outlineLevel="0" collapsed="false">
      <c r="A21" s="13" t="s">
        <v>88</v>
      </c>
      <c r="B21" s="60" t="n">
        <f aca="false">'Income Statement'!I27</f>
        <v>1263.59785120143</v>
      </c>
    </row>
    <row r="22" customFormat="false" ht="15" hidden="false" customHeight="true" outlineLevel="0" collapsed="false">
      <c r="A22" s="13" t="s">
        <v>89</v>
      </c>
      <c r="B22" s="75" t="n">
        <f aca="false">'Income Statement'!I28</f>
        <v>0.216347267609737</v>
      </c>
    </row>
    <row r="23" customFormat="false" ht="15" hidden="false" customHeight="true" outlineLevel="0" collapsed="false">
      <c r="A23" s="13" t="s">
        <v>91</v>
      </c>
      <c r="B23" s="60" t="n">
        <f aca="false">'Income Statement'!I34</f>
        <v>708.086268621588</v>
      </c>
    </row>
    <row r="24" customFormat="false" ht="15" hidden="false" customHeight="true" outlineLevel="0" collapsed="false">
      <c r="A24" s="13" t="s">
        <v>489</v>
      </c>
      <c r="B24" s="60" t="n">
        <f aca="false">I10</f>
        <v>601.87332832835</v>
      </c>
    </row>
    <row r="25" customFormat="false" ht="15" hidden="false" customHeight="true" outlineLevel="0" collapsed="false">
      <c r="A25" s="13" t="s">
        <v>266</v>
      </c>
      <c r="B25" s="60" t="n">
        <f aca="false">I11</f>
        <v>555.511582579841</v>
      </c>
    </row>
    <row r="26" customFormat="false" ht="15" hidden="false" customHeight="true" outlineLevel="0" collapsed="false">
      <c r="A26" s="13" t="s">
        <v>454</v>
      </c>
      <c r="B26" s="60" t="n">
        <f aca="false">I12</f>
        <v>-380</v>
      </c>
    </row>
    <row r="27" customFormat="false" ht="15" hidden="false" customHeight="true" outlineLevel="0" collapsed="false">
      <c r="A27" s="13" t="s">
        <v>497</v>
      </c>
      <c r="B27" s="60" t="n">
        <f aca="false">I15</f>
        <v>769.541218956702</v>
      </c>
    </row>
    <row r="28" customFormat="false" ht="15" hidden="false" customHeight="true" outlineLevel="0" collapsed="false">
      <c r="A28" s="13" t="s">
        <v>498</v>
      </c>
      <c r="B28" s="98" t="n">
        <f aca="false">-I12/I11</f>
        <v>0.684054143813256</v>
      </c>
    </row>
    <row r="29" customFormat="false" ht="15" hidden="false" customHeight="true" outlineLevel="0" collapsed="false">
      <c r="A29" s="13" t="s">
        <v>253</v>
      </c>
      <c r="B29" s="60" t="n">
        <f aca="false">'Income Statement'!I60</f>
        <v>1910</v>
      </c>
    </row>
    <row r="30" customFormat="false" ht="15" hidden="false" customHeight="true" outlineLevel="0" collapsed="false">
      <c r="A30" s="13" t="s">
        <v>499</v>
      </c>
      <c r="B30" s="73" t="n">
        <f aca="false">'Revenue Model'!I19</f>
        <v>2750</v>
      </c>
    </row>
    <row r="31" customFormat="false" ht="15" hidden="false" customHeight="true" outlineLevel="0" collapsed="false">
      <c r="A31" s="41"/>
      <c r="B31" s="41"/>
      <c r="C31" s="41"/>
      <c r="D31" s="41"/>
      <c r="E31" s="41"/>
      <c r="F31" s="41"/>
      <c r="G31" s="41"/>
      <c r="H31" s="41"/>
      <c r="I31" s="41"/>
    </row>
    <row r="32" customFormat="false" ht="15" hidden="false" customHeight="true" outlineLevel="0" collapsed="false">
      <c r="A32" s="6" t="s">
        <v>500</v>
      </c>
      <c r="B32" s="7"/>
      <c r="C32" s="7"/>
      <c r="D32" s="7"/>
      <c r="E32" s="7"/>
      <c r="F32" s="7"/>
      <c r="G32" s="7"/>
      <c r="H32" s="7"/>
      <c r="I32" s="7"/>
      <c r="K32" s="7"/>
    </row>
    <row r="33" customFormat="false" ht="15" hidden="false" customHeight="true" outlineLevel="0" collapsed="false">
      <c r="A33" s="13" t="s">
        <v>501</v>
      </c>
      <c r="B33" s="60" t="n">
        <f aca="false">'Balance Sheet'!D71</f>
        <v>972.914905292</v>
      </c>
      <c r="K33" s="12" t="s">
        <v>502</v>
      </c>
    </row>
    <row r="34" customFormat="false" ht="15" hidden="false" customHeight="true" outlineLevel="0" collapsed="false">
      <c r="A34" s="13" t="s">
        <v>503</v>
      </c>
      <c r="B34" s="60" t="n">
        <f aca="false">-'Balance Sheet'!D18</f>
        <v>-408.904260226</v>
      </c>
      <c r="K34" s="12" t="s">
        <v>504</v>
      </c>
    </row>
    <row r="35" customFormat="false" ht="15" hidden="false" customHeight="true" outlineLevel="0" collapsed="false">
      <c r="A35" s="13" t="s">
        <v>505</v>
      </c>
      <c r="B35" s="60" t="n">
        <f aca="false">'Balance Sheet'!D87</f>
        <v>564.010645066</v>
      </c>
      <c r="K35" s="12" t="s">
        <v>506</v>
      </c>
    </row>
    <row r="36" customFormat="false" ht="15" hidden="false" customHeight="true" outlineLevel="0" collapsed="false">
      <c r="A36" s="13" t="s">
        <v>507</v>
      </c>
      <c r="B36" s="60" t="n">
        <f aca="false">'Balance Sheet'!E87</f>
        <v>1759.22997105812</v>
      </c>
      <c r="K36" s="12" t="s">
        <v>508</v>
      </c>
    </row>
    <row r="37" customFormat="false" ht="15" hidden="false" customHeight="true" outlineLevel="0" collapsed="false">
      <c r="A37" s="13" t="s">
        <v>509</v>
      </c>
      <c r="B37" s="60" t="n">
        <f aca="false">'Balance Sheet'!E30</f>
        <v>119.526595775</v>
      </c>
      <c r="K37" s="12" t="s">
        <v>510</v>
      </c>
    </row>
    <row r="38" customFormat="false" ht="15" hidden="false" customHeight="true" outlineLevel="0" collapsed="false">
      <c r="A38" s="13" t="s">
        <v>511</v>
      </c>
      <c r="B38" s="65" t="n">
        <v>1416.048</v>
      </c>
      <c r="K38" s="12" t="s">
        <v>512</v>
      </c>
    </row>
    <row r="39" customFormat="false" ht="15" hidden="false" customHeight="true" outlineLevel="0" collapsed="false">
      <c r="A39" s="13" t="s">
        <v>513</v>
      </c>
      <c r="B39" s="108" t="n">
        <v>0.878</v>
      </c>
      <c r="K39" s="12" t="s">
        <v>514</v>
      </c>
    </row>
    <row r="40" customFormat="false" ht="15" hidden="false" customHeight="true" outlineLevel="0" collapsed="false">
      <c r="A40" s="13" t="s">
        <v>515</v>
      </c>
      <c r="B40" s="109" t="n">
        <v>2.6595745</v>
      </c>
      <c r="K40" s="12" t="s">
        <v>516</v>
      </c>
    </row>
    <row r="41" customFormat="false" ht="15" hidden="false" customHeight="true" outlineLevel="0" collapsed="false">
      <c r="A41" s="13" t="s">
        <v>517</v>
      </c>
      <c r="B41" s="67" t="n">
        <f aca="false">B39*B40</f>
        <v>2.335106411</v>
      </c>
      <c r="K41" s="12" t="s">
        <v>518</v>
      </c>
    </row>
    <row r="42" customFormat="false" ht="15" hidden="false" customHeight="true" outlineLevel="0" collapsed="false">
      <c r="A42" s="13" t="s">
        <v>519</v>
      </c>
      <c r="B42" s="35" t="n">
        <f aca="false">B41*B38</f>
        <v>3306.62276308373</v>
      </c>
      <c r="K42" s="12" t="s">
        <v>518</v>
      </c>
    </row>
    <row r="43" customFormat="false" ht="15" hidden="false" customHeight="true" outlineLevel="0" collapsed="false">
      <c r="A43" s="13" t="s">
        <v>520</v>
      </c>
      <c r="B43" s="35" t="n">
        <f aca="false">B42+B35</f>
        <v>3870.63340814973</v>
      </c>
      <c r="K43" s="12" t="s">
        <v>518</v>
      </c>
    </row>
    <row r="44" customFormat="false" ht="15" hidden="false" customHeight="true" outlineLevel="0" collapsed="false">
      <c r="A44" s="41"/>
      <c r="B44" s="41"/>
      <c r="C44" s="41"/>
      <c r="D44" s="41"/>
      <c r="E44" s="41"/>
      <c r="F44" s="41"/>
      <c r="G44" s="41"/>
      <c r="H44" s="41"/>
      <c r="I44" s="41"/>
    </row>
    <row r="45" customFormat="false" ht="15" hidden="false" customHeight="true" outlineLevel="0" collapsed="false">
      <c r="A45" s="6" t="s">
        <v>521</v>
      </c>
      <c r="B45" s="7"/>
      <c r="C45" s="7"/>
      <c r="D45" s="7"/>
      <c r="E45" s="7"/>
      <c r="F45" s="7"/>
      <c r="G45" s="7"/>
      <c r="H45" s="7"/>
      <c r="I45" s="7"/>
      <c r="K45" s="7"/>
    </row>
    <row r="46" customFormat="false" ht="15" hidden="false" customHeight="true" outlineLevel="0" collapsed="false">
      <c r="A46" s="13" t="s">
        <v>522</v>
      </c>
      <c r="B46" s="98" t="n">
        <f aca="false">($B$42+'Balance Sheet'!B87)/'Income Statement'!B27</f>
        <v>5.85689272545528</v>
      </c>
      <c r="C46" s="98" t="n">
        <f aca="false">($B$42+'Balance Sheet'!C87)/'Income Statement'!C27</f>
        <v>4.69568176257363</v>
      </c>
      <c r="D46" s="98" t="n">
        <f aca="false">($B$42+'Balance Sheet'!D87)/'Income Statement'!D27</f>
        <v>3.58927611634778</v>
      </c>
      <c r="E46" s="99" t="n">
        <f aca="false">($B$42+'Balance Sheet'!E87)/'Income Statement'!E27</f>
        <v>4.48641887242322</v>
      </c>
      <c r="F46" s="99" t="n">
        <f aca="false">($B$42+'Balance Sheet'!F87)/'Income Statement'!F27</f>
        <v>2.73526391222071</v>
      </c>
      <c r="G46" s="99" t="n">
        <f aca="false">($B$42+'Balance Sheet'!G87)/'Income Statement'!G27</f>
        <v>2.34691800171762</v>
      </c>
      <c r="H46" s="99" t="n">
        <f aca="false">($B$42+'Balance Sheet'!H87)/'Income Statement'!H27</f>
        <v>2.4280777261639</v>
      </c>
      <c r="I46" s="99" t="n">
        <f aca="false">($B$42+'Balance Sheet'!I87)/'Income Statement'!I27</f>
        <v>2.28385278342965</v>
      </c>
      <c r="K46" s="12" t="s">
        <v>523</v>
      </c>
    </row>
    <row r="47" customFormat="false" ht="15" hidden="false" customHeight="true" outlineLevel="0" collapsed="false">
      <c r="A47" s="13" t="s">
        <v>524</v>
      </c>
      <c r="B47" s="98" t="n">
        <f aca="false">($B$42+'Balance Sheet'!B87)/'Income Statement'!B7</f>
        <v>1.14611501721605</v>
      </c>
      <c r="C47" s="98" t="n">
        <f aca="false">($B$42+'Balance Sheet'!C87)/'Income Statement'!C7</f>
        <v>1.02245206594447</v>
      </c>
      <c r="D47" s="98" t="n">
        <f aca="false">($B$42+'Balance Sheet'!D87)/'Income Statement'!D7</f>
        <v>0.818181388058728</v>
      </c>
      <c r="E47" s="99" t="n">
        <f aca="false">($B$42+'Balance Sheet'!E87)/'Income Statement'!E7</f>
        <v>1.29952439670734</v>
      </c>
      <c r="F47" s="99" t="n">
        <f aca="false">($B$42+'Balance Sheet'!F87)/'Income Statement'!F7</f>
        <v>0.824291791371235</v>
      </c>
      <c r="G47" s="99" t="n">
        <f aca="false">($B$42+'Balance Sheet'!G87)/'Income Statement'!G7</f>
        <v>0.664030327421215</v>
      </c>
      <c r="H47" s="99" t="n">
        <f aca="false">($B$42+'Balance Sheet'!H87)/'Income Statement'!H7</f>
        <v>0.57540509812701</v>
      </c>
      <c r="I47" s="99" t="n">
        <f aca="false">($B$42+'Balance Sheet'!I87)/'Income Statement'!I7</f>
        <v>0.494105309317897</v>
      </c>
    </row>
    <row r="48" customFormat="false" ht="15" hidden="false" customHeight="true" outlineLevel="0" collapsed="false">
      <c r="A48" s="13" t="s">
        <v>525</v>
      </c>
      <c r="B48" s="98" t="n">
        <f aca="false">$B$42/'Income Statement'!B47</f>
        <v>10.5341253463249</v>
      </c>
      <c r="C48" s="98" t="n">
        <f aca="false">$B$42/'Income Statement'!C47</f>
        <v>6.73716630360568</v>
      </c>
      <c r="D48" s="98" t="n">
        <f aca="false">$B$42/'Income Statement'!D47</f>
        <v>5.68527543601328</v>
      </c>
      <c r="E48" s="99" t="n">
        <f aca="false">$B$42/'Income Statement'!E47</f>
        <v>5.29251330818433</v>
      </c>
      <c r="F48" s="99" t="n">
        <f aca="false">$B$42/'Income Statement'!F47</f>
        <v>3.81740646229833</v>
      </c>
      <c r="G48" s="99" t="n">
        <f aca="false">$B$42/'Income Statement'!G47</f>
        <v>3.97489330405473</v>
      </c>
      <c r="H48" s="99" t="n">
        <f aca="false">$B$42/'Income Statement'!H47</f>
        <v>5.11314401540852</v>
      </c>
      <c r="I48" s="99" t="n">
        <f aca="false">$B$42/'Income Statement'!I47</f>
        <v>5.93941069355512</v>
      </c>
    </row>
    <row r="49" customFormat="false" ht="15" hidden="false" customHeight="true" outlineLevel="0" collapsed="false">
      <c r="A49" s="13" t="s">
        <v>526</v>
      </c>
      <c r="B49" s="98" t="n">
        <f aca="false">$B$42/'Balance Sheet'!B29</f>
        <v>0.694873635168609</v>
      </c>
      <c r="C49" s="98" t="n">
        <f aca="false">$B$42/'Balance Sheet'!C29</f>
        <v>0.646220515078165</v>
      </c>
      <c r="D49" s="98" t="n">
        <f aca="false">$B$42/'Balance Sheet'!D29</f>
        <v>0.596406062062604</v>
      </c>
      <c r="E49" s="99" t="n">
        <f aca="false">$B$42/'Balance Sheet'!E29</f>
        <v>0.556762257832778</v>
      </c>
      <c r="F49" s="99" t="n">
        <f aca="false">$B$42/'Balance Sheet'!F29</f>
        <v>0.502026791522733</v>
      </c>
      <c r="G49" s="99" t="n">
        <f aca="false">$B$42/'Balance Sheet'!G29</f>
        <v>0.464723024172202</v>
      </c>
      <c r="H49" s="99" t="n">
        <f aca="false">$B$42/'Balance Sheet'!H29</f>
        <v>0.442606924066908</v>
      </c>
      <c r="I49" s="99" t="n">
        <f aca="false">$B$42/'Balance Sheet'!I29</f>
        <v>0.423862275611942</v>
      </c>
    </row>
    <row r="50" customFormat="false" ht="15" hidden="false" customHeight="true" outlineLevel="0" collapsed="false">
      <c r="A50" s="13" t="s">
        <v>527</v>
      </c>
      <c r="B50" s="75" t="n">
        <f aca="false">'Cash Flow Statement'!B33/$B$42</f>
        <v>0.157763657137139</v>
      </c>
      <c r="C50" s="75" t="n">
        <f aca="false">'Cash Flow Statement'!C33/$B$42</f>
        <v>0.154971871151582</v>
      </c>
      <c r="D50" s="75" t="n">
        <f aca="false">'Cash Flow Statement'!D33/$B$42</f>
        <v>0.225140528420372</v>
      </c>
      <c r="E50" s="76" t="n">
        <f aca="false">'Cash Flow Statement'!E33/$B$42</f>
        <v>0.357290380018146</v>
      </c>
      <c r="F50" s="76" t="n">
        <f aca="false">'Cash Flow Statement'!F33/$B$42</f>
        <v>0.298569153578716</v>
      </c>
      <c r="G50" s="76" t="n">
        <f aca="false">'Cash Flow Statement'!G33/$B$42</f>
        <v>0.292487301603123</v>
      </c>
      <c r="H50" s="76" t="n">
        <f aca="false">'Cash Flow Statement'!H33/$B$42</f>
        <v>0.244092896372886</v>
      </c>
      <c r="I50" s="76" t="n">
        <f aca="false">'Cash Flow Statement'!I33/$B$42</f>
        <v>0.224911228199993</v>
      </c>
    </row>
    <row r="51" customFormat="false" ht="15" hidden="false" customHeight="true" outlineLevel="0" collapsed="false">
      <c r="A51" s="13" t="s">
        <v>528</v>
      </c>
      <c r="B51" s="75" t="n">
        <f aca="false">-'Cash Flow Statement'!B42/$B$42</f>
        <v>0.112725095325778</v>
      </c>
      <c r="C51" s="75" t="n">
        <f aca="false">-'Cash Flow Statement'!C42/$B$42</f>
        <v>0.039275627041406</v>
      </c>
      <c r="D51" s="75" t="n">
        <f aca="false">-'Cash Flow Statement'!D42/$B$42</f>
        <v>0.0422765355726973</v>
      </c>
      <c r="E51" s="76" t="n">
        <f aca="false">-'Cash Flow Statement'!E42/$B$42</f>
        <v>0.0695573751465692</v>
      </c>
      <c r="F51" s="76" t="n">
        <f aca="false">-'Cash Flow Statement'!F42/$B$42</f>
        <v>0.0661311516134992</v>
      </c>
      <c r="G51" s="76" t="n">
        <f aca="false">-'Cash Flow Statement'!G42/$B$42</f>
        <v>0.0916852851423311</v>
      </c>
      <c r="H51" s="76" t="n">
        <f aca="false">-'Cash Flow Statement'!H42/$B$42</f>
        <v>0.088052677953134</v>
      </c>
      <c r="I51" s="76" t="n">
        <f aca="false">-'Cash Flow Statement'!I42/$B$42</f>
        <v>0.0684510350080638</v>
      </c>
    </row>
    <row r="52" customFormat="false" ht="15" hidden="false" customHeight="true" outlineLevel="0" collapsed="false">
      <c r="A52" s="13" t="s">
        <v>529</v>
      </c>
      <c r="B52" s="73" t="n">
        <f aca="false">($B$42+'Balance Sheet'!B87)/('Revenue Model'!B10+'Revenue Model'!B90)*1000</f>
        <v>2903.81221438775</v>
      </c>
      <c r="C52" s="73" t="n">
        <f aca="false">($B$42+'Balance Sheet'!C87)/('Revenue Model'!C10+'Revenue Model'!C90)*1000</f>
        <v>2718.39400986292</v>
      </c>
      <c r="D52" s="73" t="n">
        <f aca="false">($B$42+'Balance Sheet'!D87)/('Revenue Model'!D10+'Revenue Model'!D90)*1000</f>
        <v>2384.65923630061</v>
      </c>
      <c r="E52" s="74" t="n">
        <f aca="false">($B$42+'Balance Sheet'!E87)/('Revenue Model'!E10+'Revenue Model'!E90)*1000</f>
        <v>5565.62957289951</v>
      </c>
      <c r="F52" s="74" t="n">
        <f aca="false">($B$42+'Balance Sheet'!F87)/('Revenue Model'!F10+'Revenue Model'!F90)*1000</f>
        <v>2768.35822220181</v>
      </c>
      <c r="G52" s="74" t="n">
        <f aca="false">($B$42+'Balance Sheet'!G87)/('Revenue Model'!G10+'Revenue Model'!G90)*1000</f>
        <v>2127.55683773341</v>
      </c>
      <c r="H52" s="74" t="n">
        <f aca="false">($B$42+'Balance Sheet'!H87)/('Revenue Model'!H10+'Revenue Model'!H90)*1000</f>
        <v>1780.68192959058</v>
      </c>
      <c r="I52" s="74" t="n">
        <f aca="false">($B$42+'Balance Sheet'!I87)/('Revenue Model'!I10+'Revenue Model'!I90)*1000</f>
        <v>1503.05805708443</v>
      </c>
    </row>
    <row r="53" customFormat="false" ht="15" hidden="false" customHeight="true" outlineLevel="0" collapsed="false">
      <c r="A53" s="41"/>
      <c r="B53" s="41"/>
      <c r="C53" s="41"/>
      <c r="D53" s="41"/>
      <c r="E53" s="41"/>
      <c r="F53" s="41"/>
      <c r="G53" s="41"/>
      <c r="H53" s="41"/>
      <c r="I53" s="41"/>
    </row>
    <row r="54" customFormat="false" ht="15" hidden="false" customHeight="true" outlineLevel="0" collapsed="false">
      <c r="A54" s="6" t="s">
        <v>530</v>
      </c>
      <c r="B54" s="7"/>
      <c r="C54" s="7"/>
      <c r="D54" s="7"/>
      <c r="E54" s="7"/>
      <c r="F54" s="7"/>
      <c r="G54" s="7"/>
      <c r="H54" s="7"/>
      <c r="I54" s="7"/>
      <c r="K54" s="7"/>
    </row>
    <row r="55" customFormat="false" ht="15" hidden="false" customHeight="true" outlineLevel="0" collapsed="false">
      <c r="A55" s="13" t="s">
        <v>531</v>
      </c>
      <c r="B55" s="110" t="n">
        <v>0.062</v>
      </c>
      <c r="K55" s="12" t="s">
        <v>532</v>
      </c>
    </row>
    <row r="56" customFormat="false" ht="15" hidden="false" customHeight="true" outlineLevel="0" collapsed="false">
      <c r="A56" s="13" t="s">
        <v>533</v>
      </c>
      <c r="B56" s="110" t="n">
        <v>0.055</v>
      </c>
      <c r="K56" s="12" t="s">
        <v>534</v>
      </c>
    </row>
    <row r="57" customFormat="false" ht="15" hidden="false" customHeight="true" outlineLevel="0" collapsed="false">
      <c r="A57" s="13" t="s">
        <v>535</v>
      </c>
      <c r="B57" s="110" t="n">
        <v>0.02</v>
      </c>
      <c r="K57" s="12" t="s">
        <v>536</v>
      </c>
    </row>
    <row r="58" customFormat="false" ht="15" hidden="false" customHeight="true" outlineLevel="0" collapsed="false">
      <c r="A58" s="13" t="s">
        <v>537</v>
      </c>
      <c r="B58" s="111" t="n">
        <v>1.35</v>
      </c>
      <c r="K58" s="12" t="s">
        <v>538</v>
      </c>
    </row>
    <row r="59" customFormat="false" ht="15" hidden="false" customHeight="true" outlineLevel="0" collapsed="false">
      <c r="A59" s="13" t="s">
        <v>539</v>
      </c>
      <c r="B59" s="112" t="n">
        <f aca="false">B55+B58*B56+B57</f>
        <v>0.15625</v>
      </c>
      <c r="K59" s="12" t="s">
        <v>540</v>
      </c>
    </row>
    <row r="60" customFormat="false" ht="15" hidden="false" customHeight="true" outlineLevel="0" collapsed="false">
      <c r="A60" s="13" t="s">
        <v>541</v>
      </c>
      <c r="B60" s="110" t="n">
        <v>0.058</v>
      </c>
      <c r="K60" s="12" t="s">
        <v>542</v>
      </c>
    </row>
    <row r="61" customFormat="false" ht="15" hidden="false" customHeight="true" outlineLevel="0" collapsed="false">
      <c r="A61" s="13" t="s">
        <v>543</v>
      </c>
      <c r="B61" s="110" t="n">
        <v>0.15</v>
      </c>
      <c r="K61" s="12" t="s">
        <v>544</v>
      </c>
    </row>
    <row r="62" customFormat="false" ht="15" hidden="false" customHeight="true" outlineLevel="0" collapsed="false">
      <c r="A62" s="13" t="s">
        <v>545</v>
      </c>
      <c r="B62" s="112" t="n">
        <f aca="false">B60*(1-B61)</f>
        <v>0.0493</v>
      </c>
      <c r="K62" s="12" t="s">
        <v>546</v>
      </c>
    </row>
    <row r="63" customFormat="false" ht="15" hidden="false" customHeight="true" outlineLevel="0" collapsed="false">
      <c r="A63" s="13" t="s">
        <v>547</v>
      </c>
      <c r="B63" s="110" t="n">
        <v>0.25</v>
      </c>
      <c r="K63" s="12" t="s">
        <v>548</v>
      </c>
    </row>
    <row r="64" customFormat="false" ht="15" hidden="false" customHeight="true" outlineLevel="0" collapsed="false">
      <c r="A64" s="13" t="s">
        <v>549</v>
      </c>
      <c r="B64" s="112" t="n">
        <f aca="false">B59*(1-B63)+B62*B63</f>
        <v>0.1295125</v>
      </c>
      <c r="K64" s="12" t="s">
        <v>550</v>
      </c>
    </row>
    <row r="65" customFormat="false" ht="15" hidden="false" customHeight="true" outlineLevel="0" collapsed="false">
      <c r="A65" s="13" t="s">
        <v>551</v>
      </c>
      <c r="B65" s="110" t="n">
        <v>0.02</v>
      </c>
      <c r="K65" s="12" t="s">
        <v>552</v>
      </c>
    </row>
    <row r="66" customFormat="false" ht="15" hidden="false" customHeight="true" outlineLevel="0" collapsed="false">
      <c r="A66" s="41"/>
      <c r="B66" s="41"/>
      <c r="C66" s="41"/>
      <c r="D66" s="41"/>
      <c r="E66" s="41"/>
      <c r="F66" s="41"/>
      <c r="G66" s="41"/>
      <c r="H66" s="41"/>
      <c r="I66" s="41"/>
    </row>
    <row r="67" customFormat="false" ht="15" hidden="false" customHeight="true" outlineLevel="0" collapsed="false">
      <c r="A67" s="6" t="s">
        <v>553</v>
      </c>
      <c r="B67" s="7"/>
      <c r="C67" s="7"/>
      <c r="D67" s="7"/>
      <c r="E67" s="7"/>
      <c r="F67" s="7"/>
      <c r="G67" s="7"/>
      <c r="H67" s="7"/>
      <c r="I67" s="7"/>
      <c r="K67" s="7"/>
    </row>
    <row r="68" customFormat="false" ht="15" hidden="false" customHeight="true" outlineLevel="0" collapsed="false">
      <c r="A68" s="9" t="s">
        <v>554</v>
      </c>
      <c r="E68" s="61" t="n">
        <f aca="false">Scenarios!E58</f>
        <v>1267.51988068127</v>
      </c>
      <c r="F68" s="61" t="n">
        <f aca="false">Scenarios!F58</f>
        <v>1358.13070567405</v>
      </c>
      <c r="G68" s="61" t="n">
        <f aca="false">Scenarios!G58</f>
        <v>2028.34256610693</v>
      </c>
      <c r="H68" s="61" t="n">
        <f aca="false">Scenarios!H58</f>
        <v>1829.66329273139</v>
      </c>
      <c r="I68" s="61" t="n">
        <f aca="false">Scenarios!I58</f>
        <v>1666.74789660824</v>
      </c>
      <c r="K68" s="12" t="s">
        <v>555</v>
      </c>
    </row>
    <row r="69" customFormat="false" ht="15" hidden="false" customHeight="true" outlineLevel="0" collapsed="false">
      <c r="A69" s="9" t="s">
        <v>556</v>
      </c>
      <c r="E69" s="61" t="n">
        <f aca="false">Scenarios!E107</f>
        <v>1050.668659125</v>
      </c>
      <c r="F69" s="61" t="n">
        <f aca="false">Scenarios!F107</f>
        <v>643.458166983997</v>
      </c>
      <c r="G69" s="61" t="n">
        <f aca="false">Scenarios!G107</f>
        <v>886.515944780737</v>
      </c>
      <c r="H69" s="61" t="n">
        <f aca="false">Scenarios!H107</f>
        <v>796.929598334997</v>
      </c>
      <c r="I69" s="61" t="n">
        <f aca="false">Scenarios!I107</f>
        <v>741.85338908579</v>
      </c>
      <c r="K69" s="12" t="s">
        <v>557</v>
      </c>
    </row>
    <row r="70" customFormat="false" ht="15" hidden="false" customHeight="true" outlineLevel="0" collapsed="false">
      <c r="A70" s="9" t="s">
        <v>558</v>
      </c>
      <c r="E70" s="61" t="n">
        <f aca="false">Scenarios!E156</f>
        <v>1043.69577259308</v>
      </c>
      <c r="F70" s="61" t="n">
        <f aca="false">Scenarios!F156</f>
        <v>-79.4639114697295</v>
      </c>
      <c r="G70" s="61" t="n">
        <f aca="false">Scenarios!G156</f>
        <v>-5.41794040967938</v>
      </c>
      <c r="H70" s="61" t="n">
        <f aca="false">Scenarios!H156</f>
        <v>41.907309738901</v>
      </c>
      <c r="I70" s="61" t="n">
        <f aca="false">Scenarios!I156</f>
        <v>125.122994413298</v>
      </c>
      <c r="K70" s="12" t="s">
        <v>559</v>
      </c>
    </row>
    <row r="71" customFormat="false" ht="15" hidden="false" customHeight="true" outlineLevel="0" collapsed="false">
      <c r="A71" s="77" t="s">
        <v>560</v>
      </c>
      <c r="B71" s="113" t="s">
        <v>463</v>
      </c>
      <c r="C71" s="113" t="s">
        <v>464</v>
      </c>
      <c r="D71" s="113" t="s">
        <v>465</v>
      </c>
    </row>
    <row r="72" customFormat="false" ht="15" hidden="false" customHeight="true" outlineLevel="0" collapsed="false">
      <c r="B72" s="35" t="n">
        <f aca="false">SUM(E68:I68)</f>
        <v>8150.40434180188</v>
      </c>
      <c r="C72" s="35" t="n">
        <f aca="false">SUM(E69:I69)</f>
        <v>4119.42575831052</v>
      </c>
      <c r="D72" s="35" t="n">
        <f aca="false">SUM(E70:I70)</f>
        <v>1125.84422486587</v>
      </c>
    </row>
    <row r="74" customFormat="false" ht="15" hidden="false" customHeight="true" outlineLevel="0" collapsed="false">
      <c r="A74" s="6" t="s">
        <v>561</v>
      </c>
      <c r="B74" s="7"/>
      <c r="C74" s="7"/>
      <c r="D74" s="7"/>
      <c r="E74" s="7"/>
      <c r="F74" s="7"/>
      <c r="G74" s="7"/>
      <c r="H74" s="7"/>
      <c r="I74" s="7"/>
      <c r="K74" s="7"/>
    </row>
    <row r="75" customFormat="false" ht="30" hidden="false" customHeight="true" outlineLevel="0" collapsed="false">
      <c r="A75" s="3" t="s">
        <v>562</v>
      </c>
    </row>
    <row r="76" customFormat="false" ht="30" hidden="false" customHeight="true" outlineLevel="0" collapsed="false">
      <c r="A76" s="3" t="s">
        <v>563</v>
      </c>
    </row>
    <row r="77" customFormat="false" ht="30" hidden="false" customHeight="true" outlineLevel="0" collapsed="false">
      <c r="A77" s="3" t="s">
        <v>564</v>
      </c>
    </row>
    <row r="78" customFormat="false" ht="30" hidden="false" customHeight="true" outlineLevel="0" collapsed="false">
      <c r="A78" s="3" t="s">
        <v>565</v>
      </c>
    </row>
    <row r="79" customFormat="false" ht="30" hidden="false" customHeight="true" outlineLevel="0" collapsed="false">
      <c r="A79" s="3" t="s">
        <v>566</v>
      </c>
    </row>
    <row r="80" customFormat="false" ht="30" hidden="false" customHeight="true" outlineLevel="0" collapsed="false">
      <c r="A80" s="3" t="s">
        <v>567</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Aluminium Bahrain B.S.C. (Alba)  |  BHB: ALBH  |  Financial model, 28 August 2026&amp;R&amp;8 Al Ramz Investment Research  |  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false"/>
  </sheetPr>
  <dimension ref="A1:K7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8"/>
    <col collapsed="false" customWidth="true" hidden="false" outlineLevel="0" max="9" min="2" style="1" width="13"/>
    <col collapsed="false" customWidth="true" hidden="false" outlineLevel="0" max="10" min="10" style="1" width="2"/>
    <col collapsed="false" customWidth="true" hidden="false" outlineLevel="0" max="11" min="11" style="1" width="95"/>
  </cols>
  <sheetData>
    <row r="1" customFormat="false" ht="15.75" hidden="false" customHeight="true" outlineLevel="0" collapsed="false">
      <c r="A1" s="2" t="s">
        <v>568</v>
      </c>
    </row>
    <row r="2" customFormat="false" ht="15" hidden="false" customHeight="true" outlineLevel="0" collapsed="false">
      <c r="A2" s="114" t="s">
        <v>569</v>
      </c>
    </row>
    <row r="4" customFormat="false" ht="15" hidden="false" customHeight="true" outlineLevel="0" collapsed="false">
      <c r="B4" s="115" t="s">
        <v>6</v>
      </c>
      <c r="C4" s="115" t="s">
        <v>7</v>
      </c>
      <c r="D4" s="115" t="s">
        <v>8</v>
      </c>
      <c r="E4" s="115" t="s">
        <v>9</v>
      </c>
      <c r="K4" s="116" t="s">
        <v>10</v>
      </c>
    </row>
    <row r="6" customFormat="false" ht="15" hidden="false" customHeight="true" outlineLevel="0" collapsed="false">
      <c r="A6" s="6" t="s">
        <v>570</v>
      </c>
      <c r="B6" s="6"/>
      <c r="C6" s="6"/>
      <c r="D6" s="6"/>
      <c r="E6" s="6"/>
      <c r="F6" s="6"/>
      <c r="G6" s="6"/>
      <c r="H6" s="6"/>
      <c r="I6" s="6"/>
    </row>
    <row r="7" customFormat="false" ht="18.75" hidden="false" customHeight="true" outlineLevel="0" collapsed="false">
      <c r="A7" s="9" t="s">
        <v>571</v>
      </c>
      <c r="B7" s="110" t="n">
        <v>0.07125</v>
      </c>
      <c r="K7" s="116" t="s">
        <v>572</v>
      </c>
    </row>
    <row r="8" customFormat="false" ht="18.75" hidden="false" customHeight="true" outlineLevel="0" collapsed="false">
      <c r="A8" s="9" t="s">
        <v>573</v>
      </c>
      <c r="B8" s="110" t="n">
        <v>0.055</v>
      </c>
      <c r="K8" s="116" t="s">
        <v>574</v>
      </c>
    </row>
    <row r="9" customFormat="false" ht="27" hidden="false" customHeight="true" outlineLevel="0" collapsed="false">
      <c r="A9" s="9" t="s">
        <v>537</v>
      </c>
      <c r="B9" s="111" t="n">
        <v>1.35</v>
      </c>
      <c r="K9" s="116" t="s">
        <v>575</v>
      </c>
    </row>
    <row r="10" customFormat="false" ht="27" hidden="false" customHeight="true" outlineLevel="0" collapsed="false">
      <c r="A10" s="9" t="s">
        <v>576</v>
      </c>
      <c r="B10" s="110" t="n">
        <v>0.015</v>
      </c>
      <c r="K10" s="116" t="s">
        <v>577</v>
      </c>
    </row>
    <row r="11" customFormat="false" ht="15" hidden="false" customHeight="true" outlineLevel="0" collapsed="false">
      <c r="A11" s="19" t="s">
        <v>578</v>
      </c>
      <c r="B11" s="112" t="n">
        <f aca="false">B7+B9*B8+B10</f>
        <v>0.1605</v>
      </c>
    </row>
    <row r="12" customFormat="false" ht="15" hidden="false" customHeight="true" outlineLevel="0" collapsed="false">
      <c r="A12" s="9" t="s">
        <v>541</v>
      </c>
      <c r="B12" s="110" t="n">
        <v>0.058</v>
      </c>
      <c r="K12" s="116" t="s">
        <v>579</v>
      </c>
    </row>
    <row r="13" customFormat="false" ht="15" hidden="false" customHeight="true" outlineLevel="0" collapsed="false">
      <c r="A13" s="9" t="s">
        <v>543</v>
      </c>
      <c r="B13" s="110" t="n">
        <v>0.15</v>
      </c>
      <c r="K13" s="116" t="s">
        <v>580</v>
      </c>
    </row>
    <row r="14" customFormat="false" ht="15" hidden="false" customHeight="true" outlineLevel="0" collapsed="false">
      <c r="A14" s="9" t="s">
        <v>545</v>
      </c>
      <c r="B14" s="91" t="n">
        <f aca="false">B12*(1-B13)</f>
        <v>0.0493</v>
      </c>
    </row>
    <row r="15" customFormat="false" ht="18.75" hidden="false" customHeight="true" outlineLevel="0" collapsed="false">
      <c r="A15" s="9" t="s">
        <v>547</v>
      </c>
      <c r="B15" s="110" t="n">
        <v>0.25</v>
      </c>
      <c r="K15" s="116" t="s">
        <v>581</v>
      </c>
    </row>
    <row r="16" customFormat="false" ht="15" hidden="false" customHeight="true" outlineLevel="0" collapsed="false">
      <c r="A16" s="19" t="s">
        <v>549</v>
      </c>
      <c r="B16" s="112" t="n">
        <f aca="false">B11*(1-B15)+B14*B15</f>
        <v>0.1327</v>
      </c>
      <c r="K16" s="116" t="s">
        <v>582</v>
      </c>
    </row>
    <row r="17" customFormat="false" ht="15" hidden="false" customHeight="true" outlineLevel="0" collapsed="false">
      <c r="A17" s="9" t="s">
        <v>551</v>
      </c>
      <c r="B17" s="110" t="n">
        <v>0.02</v>
      </c>
      <c r="K17" s="116" t="s">
        <v>583</v>
      </c>
    </row>
    <row r="18" customFormat="false" ht="18.75" hidden="false" customHeight="true" outlineLevel="0" collapsed="false">
      <c r="A18" s="9" t="s">
        <v>584</v>
      </c>
      <c r="B18" s="117" t="n">
        <f aca="false">'DCF Inputs'!B55+'DCF Inputs'!B58*'DCF Inputs'!B56+'DCF Inputs'!B57</f>
        <v>0.15625</v>
      </c>
      <c r="K18" s="116" t="s">
        <v>585</v>
      </c>
    </row>
    <row r="19" customFormat="false" ht="36" hidden="false" customHeight="true" outlineLevel="0" collapsed="false">
      <c r="A19" s="9" t="s">
        <v>586</v>
      </c>
      <c r="B19" s="91" t="n">
        <f aca="false">0.0465+0.0467</f>
        <v>0.0932</v>
      </c>
      <c r="K19" s="116" t="s">
        <v>587</v>
      </c>
    </row>
    <row r="21" customFormat="false" ht="15" hidden="false" customHeight="true" outlineLevel="0" collapsed="false">
      <c r="A21" s="6" t="s">
        <v>588</v>
      </c>
      <c r="B21" s="6"/>
      <c r="C21" s="6"/>
      <c r="D21" s="6"/>
      <c r="E21" s="6"/>
      <c r="F21" s="6"/>
      <c r="G21" s="6"/>
      <c r="H21" s="6"/>
      <c r="I21" s="6"/>
      <c r="K21" s="116" t="s">
        <v>589</v>
      </c>
    </row>
    <row r="22" customFormat="false" ht="15" hidden="false" customHeight="true" outlineLevel="0" collapsed="false">
      <c r="A22" s="9" t="s">
        <v>486</v>
      </c>
      <c r="B22" s="61" t="n">
        <f aca="false">'DCF Inputs'!F7</f>
        <v>1100.70202326919</v>
      </c>
      <c r="C22" s="61" t="n">
        <f aca="false">'DCF Inputs'!G7</f>
        <v>1110.42177532153</v>
      </c>
      <c r="D22" s="61" t="n">
        <f aca="false">'DCF Inputs'!H7</f>
        <v>850.650926561833</v>
      </c>
      <c r="E22" s="61" t="n">
        <f aca="false">'DCF Inputs'!I7</f>
        <v>708.086268621588</v>
      </c>
    </row>
    <row r="23" customFormat="false" ht="15" hidden="false" customHeight="true" outlineLevel="0" collapsed="false">
      <c r="A23" s="9" t="s">
        <v>487</v>
      </c>
      <c r="B23" s="76" t="n">
        <f aca="false">'DCF Inputs'!F8</f>
        <v>0.05</v>
      </c>
      <c r="C23" s="76" t="n">
        <f aca="false">'DCF Inputs'!G8</f>
        <v>0.15</v>
      </c>
      <c r="D23" s="76" t="n">
        <f aca="false">'DCF Inputs'!H8</f>
        <v>0.15</v>
      </c>
      <c r="E23" s="76" t="n">
        <f aca="false">'DCF Inputs'!I8</f>
        <v>0.15</v>
      </c>
    </row>
    <row r="24" customFormat="false" ht="15" hidden="false" customHeight="true" outlineLevel="0" collapsed="false">
      <c r="A24" s="9" t="s">
        <v>489</v>
      </c>
      <c r="B24" s="61" t="n">
        <f aca="false">'DCF Inputs'!F10</f>
        <v>1045.66692210573</v>
      </c>
      <c r="C24" s="61" t="n">
        <f aca="false">'DCF Inputs'!G10</f>
        <v>943.858509023298</v>
      </c>
      <c r="D24" s="61" t="n">
        <f aca="false">'DCF Inputs'!H10</f>
        <v>723.053287577558</v>
      </c>
      <c r="E24" s="61" t="n">
        <f aca="false">'DCF Inputs'!I10</f>
        <v>601.87332832835</v>
      </c>
    </row>
    <row r="25" customFormat="false" ht="15" hidden="false" customHeight="true" outlineLevel="0" collapsed="false">
      <c r="A25" s="9" t="s">
        <v>490</v>
      </c>
      <c r="B25" s="61" t="n">
        <f aca="false">'DCF Inputs'!F11</f>
        <v>518.656582579841</v>
      </c>
      <c r="C25" s="61" t="n">
        <f aca="false">'DCF Inputs'!G11</f>
        <v>530.401582579841</v>
      </c>
      <c r="D25" s="61" t="n">
        <f aca="false">'DCF Inputs'!H11</f>
        <v>542.754082579841</v>
      </c>
      <c r="E25" s="61" t="n">
        <f aca="false">'DCF Inputs'!I11</f>
        <v>555.511582579841</v>
      </c>
    </row>
    <row r="26" customFormat="false" ht="15" hidden="false" customHeight="true" outlineLevel="0" collapsed="false">
      <c r="A26" s="9" t="s">
        <v>491</v>
      </c>
      <c r="B26" s="61" t="n">
        <f aca="false">'DCF Inputs'!F12</f>
        <v>-340</v>
      </c>
      <c r="C26" s="61" t="n">
        <f aca="false">'DCF Inputs'!G12</f>
        <v>-360</v>
      </c>
      <c r="D26" s="61" t="n">
        <f aca="false">'DCF Inputs'!H12</f>
        <v>-370</v>
      </c>
      <c r="E26" s="61" t="n">
        <f aca="false">'DCF Inputs'!I12</f>
        <v>-380</v>
      </c>
    </row>
    <row r="27" customFormat="false" ht="15" hidden="false" customHeight="true" outlineLevel="0" collapsed="false">
      <c r="A27" s="9" t="s">
        <v>492</v>
      </c>
      <c r="B27" s="61" t="n">
        <f aca="false">'DCF Inputs'!F14</f>
        <v>-194.869178090906</v>
      </c>
      <c r="C27" s="61" t="n">
        <f aca="false">'DCF Inputs'!G14</f>
        <v>-122.469514663863</v>
      </c>
      <c r="D27" s="61" t="n">
        <f aca="false">'DCF Inputs'!H14</f>
        <v>-60.9053989893066</v>
      </c>
      <c r="E27" s="61" t="n">
        <f aca="false">'DCF Inputs'!I14</f>
        <v>-7.84369195148884</v>
      </c>
    </row>
    <row r="28" customFormat="false" ht="15" hidden="false" customHeight="true" outlineLevel="0" collapsed="false">
      <c r="A28" s="19" t="s">
        <v>485</v>
      </c>
      <c r="B28" s="57" t="n">
        <f aca="false">'DCF Inputs'!F15</f>
        <v>1029.45432659467</v>
      </c>
      <c r="C28" s="57" t="n">
        <f aca="false">'DCF Inputs'!G15</f>
        <v>991.790576939275</v>
      </c>
      <c r="D28" s="57" t="n">
        <f aca="false">'DCF Inputs'!H15</f>
        <v>834.901971168092</v>
      </c>
      <c r="E28" s="57" t="n">
        <f aca="false">'DCF Inputs'!I15</f>
        <v>769.541218956702</v>
      </c>
      <c r="K28" s="116" t="s">
        <v>590</v>
      </c>
    </row>
    <row r="29" customFormat="false" ht="15" hidden="false" customHeight="true" outlineLevel="0" collapsed="false">
      <c r="A29" s="9" t="s">
        <v>591</v>
      </c>
      <c r="B29" s="55" t="n">
        <v>1</v>
      </c>
      <c r="C29" s="55" t="n">
        <v>2</v>
      </c>
      <c r="D29" s="55" t="n">
        <v>3</v>
      </c>
      <c r="E29" s="55" t="n">
        <v>4</v>
      </c>
      <c r="K29" s="116" t="s">
        <v>592</v>
      </c>
    </row>
    <row r="30" customFormat="false" ht="15" hidden="false" customHeight="true" outlineLevel="0" collapsed="false">
      <c r="A30" s="9" t="s">
        <v>593</v>
      </c>
      <c r="B30" s="103" t="n">
        <f aca="false">1/(1+$B$16)^B29</f>
        <v>0.882846296459786</v>
      </c>
      <c r="C30" s="103" t="n">
        <f aca="false">1/(1+$B$16)^C29</f>
        <v>0.779417583172761</v>
      </c>
      <c r="D30" s="103" t="n">
        <f aca="false">1/(1+$B$16)^D29</f>
        <v>0.68810592669971</v>
      </c>
      <c r="E30" s="103" t="n">
        <f aca="false">1/(1+$B$16)^E29</f>
        <v>0.607491768958868</v>
      </c>
    </row>
    <row r="31" customFormat="false" ht="15" hidden="false" customHeight="true" outlineLevel="0" collapsed="false">
      <c r="A31" s="19" t="s">
        <v>594</v>
      </c>
      <c r="B31" s="36" t="n">
        <f aca="false">B28*B30</f>
        <v>908.849939608604</v>
      </c>
      <c r="C31" s="36" t="n">
        <f aca="false">C28*C30</f>
        <v>773.019014491528</v>
      </c>
      <c r="D31" s="36" t="n">
        <f aca="false">D28*D30</f>
        <v>574.500994574034</v>
      </c>
      <c r="E31" s="36" t="n">
        <f aca="false">E28*E30</f>
        <v>467.48995639077</v>
      </c>
    </row>
    <row r="33" customFormat="false" ht="18.75" hidden="false" customHeight="true" outlineLevel="0" collapsed="false">
      <c r="A33" s="6" t="s">
        <v>595</v>
      </c>
      <c r="B33" s="6"/>
      <c r="C33" s="6"/>
      <c r="D33" s="6"/>
      <c r="E33" s="6"/>
      <c r="F33" s="6"/>
      <c r="G33" s="6"/>
      <c r="H33" s="6"/>
      <c r="I33" s="6"/>
      <c r="K33" s="116" t="s">
        <v>596</v>
      </c>
    </row>
    <row r="34" customFormat="false" ht="15" hidden="false" customHeight="true" outlineLevel="0" collapsed="false">
      <c r="A34" s="9" t="s">
        <v>597</v>
      </c>
      <c r="B34" s="60" t="n">
        <f aca="false">'DCF Inputs'!I10</f>
        <v>601.87332832835</v>
      </c>
    </row>
    <row r="35" customFormat="false" ht="15" hidden="false" customHeight="true" outlineLevel="0" collapsed="false">
      <c r="A35" s="9" t="s">
        <v>490</v>
      </c>
      <c r="B35" s="60" t="n">
        <f aca="false">'DCF Inputs'!I11</f>
        <v>555.511582579841</v>
      </c>
    </row>
    <row r="36" customFormat="false" ht="18.75" hidden="false" customHeight="true" outlineLevel="0" collapsed="false">
      <c r="A36" s="9" t="s">
        <v>598</v>
      </c>
      <c r="B36" s="26" t="n">
        <f aca="false">-'DCF Inputs'!I11</f>
        <v>-555.511582579841</v>
      </c>
      <c r="K36" s="116" t="s">
        <v>599</v>
      </c>
    </row>
    <row r="37" customFormat="false" ht="15" hidden="false" customHeight="true" outlineLevel="0" collapsed="false">
      <c r="A37" s="9" t="s">
        <v>600</v>
      </c>
      <c r="B37" s="26" t="n">
        <f aca="false">-$B$17*'DCF Inputs'!I13</f>
        <v>-31.8741262343937</v>
      </c>
    </row>
    <row r="38" customFormat="false" ht="15" hidden="false" customHeight="true" outlineLevel="0" collapsed="false">
      <c r="A38" s="19" t="s">
        <v>601</v>
      </c>
      <c r="B38" s="35" t="n">
        <f aca="false">SUM(B34:B37)</f>
        <v>569.999202093956</v>
      </c>
    </row>
    <row r="39" customFormat="false" ht="15" hidden="false" customHeight="true" outlineLevel="0" collapsed="false">
      <c r="A39" s="9" t="s">
        <v>602</v>
      </c>
      <c r="B39" s="60" t="n">
        <f aca="false">'DCF Inputs'!I15</f>
        <v>769.541218956702</v>
      </c>
      <c r="K39" s="116" t="s">
        <v>603</v>
      </c>
    </row>
    <row r="40" customFormat="false" ht="15" hidden="false" customHeight="true" outlineLevel="0" collapsed="false">
      <c r="A40" s="19" t="s">
        <v>604</v>
      </c>
      <c r="B40" s="35" t="n">
        <f aca="false">B38*(1+$B$17)/($B$16-$B$17)</f>
        <v>5158.82152738097</v>
      </c>
      <c r="K40" s="116" t="s">
        <v>605</v>
      </c>
    </row>
    <row r="41" customFormat="false" ht="15" hidden="false" customHeight="true" outlineLevel="0" collapsed="false">
      <c r="A41" s="19" t="s">
        <v>606</v>
      </c>
      <c r="B41" s="35" t="n">
        <f aca="false">B40*E30</f>
        <v>3133.94161541175</v>
      </c>
    </row>
    <row r="43" customFormat="false" ht="15" hidden="false" customHeight="true" outlineLevel="0" collapsed="false">
      <c r="A43" s="6" t="s">
        <v>607</v>
      </c>
      <c r="B43" s="6"/>
      <c r="C43" s="6"/>
      <c r="D43" s="6"/>
      <c r="E43" s="6"/>
      <c r="F43" s="6"/>
      <c r="G43" s="6"/>
      <c r="H43" s="6"/>
      <c r="I43" s="6"/>
    </row>
    <row r="44" customFormat="false" ht="15" hidden="false" customHeight="true" outlineLevel="0" collapsed="false">
      <c r="A44" s="9" t="s">
        <v>608</v>
      </c>
      <c r="B44" s="26" t="n">
        <f aca="false">SUM(B31:E31)</f>
        <v>2723.85990506494</v>
      </c>
    </row>
    <row r="45" customFormat="false" ht="15" hidden="false" customHeight="true" outlineLevel="0" collapsed="false">
      <c r="A45" s="9" t="s">
        <v>606</v>
      </c>
      <c r="B45" s="26" t="n">
        <f aca="false">B41</f>
        <v>3133.94161541175</v>
      </c>
    </row>
    <row r="46" customFormat="false" ht="15" hidden="false" customHeight="true" outlineLevel="0" collapsed="false">
      <c r="A46" s="19" t="s">
        <v>609</v>
      </c>
      <c r="B46" s="35" t="n">
        <f aca="false">B44+B45</f>
        <v>5857.80152047669</v>
      </c>
    </row>
    <row r="47" customFormat="false" ht="15" hidden="false" customHeight="true" outlineLevel="0" collapsed="false">
      <c r="A47" s="9" t="s">
        <v>610</v>
      </c>
      <c r="B47" s="14" t="n">
        <f aca="false">B45/B46</f>
        <v>0.535003039016713</v>
      </c>
      <c r="K47" s="116" t="s">
        <v>611</v>
      </c>
    </row>
    <row r="48" customFormat="false" ht="15" hidden="false" customHeight="true" outlineLevel="0" collapsed="false">
      <c r="A48" s="9" t="s">
        <v>612</v>
      </c>
      <c r="B48" s="60" t="n">
        <f aca="false">-'Balance Sheet'!E87</f>
        <v>-1759.22997105812</v>
      </c>
      <c r="K48" s="116" t="s">
        <v>613</v>
      </c>
    </row>
    <row r="49" customFormat="false" ht="15" hidden="false" customHeight="true" outlineLevel="0" collapsed="false">
      <c r="A49" s="9" t="s">
        <v>614</v>
      </c>
      <c r="B49" s="60" t="n">
        <f aca="false">-'Balance Sheet'!E30</f>
        <v>-119.526595775</v>
      </c>
    </row>
    <row r="50" customFormat="false" ht="15" hidden="false" customHeight="true" outlineLevel="0" collapsed="false">
      <c r="A50" s="19" t="s">
        <v>615</v>
      </c>
      <c r="B50" s="35" t="n">
        <f aca="false">B46+B48+B49</f>
        <v>3979.04495364357</v>
      </c>
    </row>
    <row r="51" customFormat="false" ht="15" hidden="false" customHeight="true" outlineLevel="0" collapsed="false">
      <c r="A51" s="9" t="s">
        <v>511</v>
      </c>
      <c r="B51" s="60" t="n">
        <f aca="false">'DCF Inputs'!B38</f>
        <v>1416.048</v>
      </c>
      <c r="K51" s="116" t="s">
        <v>616</v>
      </c>
    </row>
    <row r="52" customFormat="false" ht="15" hidden="false" customHeight="true" outlineLevel="0" collapsed="false">
      <c r="A52" s="19" t="s">
        <v>617</v>
      </c>
      <c r="B52" s="118" t="n">
        <f aca="false">B50/B51</f>
        <v>2.80996474246888</v>
      </c>
    </row>
    <row r="53" customFormat="false" ht="15" hidden="false" customHeight="true" outlineLevel="0" collapsed="false">
      <c r="A53" s="19" t="s">
        <v>618</v>
      </c>
      <c r="B53" s="67" t="n">
        <f aca="false">B52/'DCF Inputs'!B40</f>
        <v>1.05654673048974</v>
      </c>
      <c r="K53" s="116" t="s">
        <v>619</v>
      </c>
    </row>
    <row r="54" customFormat="false" ht="36" hidden="false" customHeight="true" outlineLevel="0" collapsed="false">
      <c r="A54" s="9" t="s">
        <v>620</v>
      </c>
      <c r="B54" s="108" t="n">
        <v>0.878</v>
      </c>
      <c r="K54" s="116" t="s">
        <v>621</v>
      </c>
    </row>
    <row r="55" customFormat="false" ht="15" hidden="false" customHeight="true" outlineLevel="0" collapsed="false">
      <c r="A55" s="19" t="s">
        <v>622</v>
      </c>
      <c r="B55" s="119" t="n">
        <f aca="false">B53/B54-1</f>
        <v>0.203356185068037</v>
      </c>
    </row>
    <row r="57" customFormat="false" ht="15" hidden="false" customHeight="true" outlineLevel="0" collapsed="false">
      <c r="A57" s="6" t="s">
        <v>623</v>
      </c>
      <c r="B57" s="6"/>
      <c r="C57" s="6"/>
      <c r="D57" s="6"/>
      <c r="E57" s="6"/>
      <c r="F57" s="6"/>
      <c r="G57" s="6"/>
      <c r="H57" s="6"/>
      <c r="I57" s="6"/>
    </row>
    <row r="58" customFormat="false" ht="15" hidden="false" customHeight="true" outlineLevel="0" collapsed="false">
      <c r="A58" s="9" t="s">
        <v>624</v>
      </c>
      <c r="B58" s="107" t="n">
        <f aca="false">B46/'Income Statement'!I27</f>
        <v>4.6358115557945</v>
      </c>
      <c r="K58" s="116" t="s">
        <v>625</v>
      </c>
    </row>
    <row r="59" customFormat="false" ht="18.75" hidden="false" customHeight="true" outlineLevel="0" collapsed="false">
      <c r="A59" s="9" t="s">
        <v>626</v>
      </c>
      <c r="B59" s="107" t="n">
        <f aca="false">B40/'Income Statement'!I27</f>
        <v>4.08264506185727</v>
      </c>
      <c r="K59" s="116" t="s">
        <v>627</v>
      </c>
    </row>
    <row r="60" customFormat="false" ht="15" hidden="false" customHeight="true" outlineLevel="0" collapsed="false">
      <c r="A60" s="9" t="s">
        <v>628</v>
      </c>
      <c r="B60" s="50" t="n">
        <f aca="false">B46/1923*1000</f>
        <v>3046.17863779339</v>
      </c>
      <c r="K60" s="116" t="s">
        <v>629</v>
      </c>
    </row>
    <row r="61" customFormat="false" ht="18.75" hidden="false" customHeight="true" outlineLevel="0" collapsed="false">
      <c r="A61" s="9" t="s">
        <v>630</v>
      </c>
      <c r="B61" s="10" t="n">
        <f aca="false">3000/540*1000</f>
        <v>5555.55555555556</v>
      </c>
      <c r="K61" s="116" t="s">
        <v>631</v>
      </c>
    </row>
    <row r="62" customFormat="false" ht="15" hidden="false" customHeight="true" outlineLevel="0" collapsed="false">
      <c r="A62" s="9" t="s">
        <v>632</v>
      </c>
      <c r="B62" s="14" t="n">
        <f aca="false">B60/B61</f>
        <v>0.54831215480281</v>
      </c>
    </row>
    <row r="63" customFormat="false" ht="15" hidden="false" customHeight="true" outlineLevel="0" collapsed="false">
      <c r="A63" s="9" t="s">
        <v>633</v>
      </c>
      <c r="B63" s="107" t="n">
        <f aca="false">B53/('Income Statement'!F53/1000)</f>
        <v>4.59370054094092</v>
      </c>
      <c r="K63" s="116" t="s">
        <v>634</v>
      </c>
    </row>
    <row r="64" customFormat="false" ht="15" hidden="false" customHeight="true" outlineLevel="0" collapsed="false">
      <c r="A64" s="9" t="s">
        <v>635</v>
      </c>
      <c r="B64" s="107" t="n">
        <f aca="false">B53/('Income Statement'!I53/1000)</f>
        <v>7.14722793742737</v>
      </c>
    </row>
    <row r="65" customFormat="false" ht="15" hidden="false" customHeight="true" outlineLevel="0" collapsed="false">
      <c r="A65" s="9" t="s">
        <v>636</v>
      </c>
      <c r="B65" s="107" t="n">
        <f aca="false">B53/'Balance Sheet'!E92</f>
        <v>0.669983432532379</v>
      </c>
      <c r="K65" s="116" t="s">
        <v>637</v>
      </c>
    </row>
    <row r="66" customFormat="false" ht="15" hidden="false" customHeight="true" outlineLevel="0" collapsed="false">
      <c r="A66" s="9" t="s">
        <v>638</v>
      </c>
      <c r="B66" s="14" t="n">
        <f aca="false">('Income Statement'!I55/1000)/B53</f>
        <v>0.0568834256961098</v>
      </c>
      <c r="K66" s="116" t="s">
        <v>639</v>
      </c>
    </row>
    <row r="68" customFormat="false" ht="15" hidden="false" customHeight="true" outlineLevel="0" collapsed="false">
      <c r="A68" s="3" t="s">
        <v>640</v>
      </c>
    </row>
    <row r="69" customFormat="false" ht="15" hidden="false" customHeight="true" outlineLevel="0" collapsed="false">
      <c r="A69" s="3" t="s">
        <v>641</v>
      </c>
    </row>
    <row r="70" customFormat="false" ht="15" hidden="false" customHeight="true" outlineLevel="0" collapsed="false">
      <c r="A70" s="3" t="s">
        <v>642</v>
      </c>
    </row>
    <row r="71" customFormat="false" ht="15" hidden="false" customHeight="true" outlineLevel="0" collapsed="false">
      <c r="A71" s="3" t="s">
        <v>643</v>
      </c>
    </row>
    <row r="72" customFormat="false" ht="15" hidden="false" customHeight="true" outlineLevel="0" collapsed="false">
      <c r="A72" s="3" t="s">
        <v>644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false"/>
  </sheetPr>
  <dimension ref="A1:K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40"/>
    <col collapsed="false" customWidth="true" hidden="false" outlineLevel="0" max="6" min="2" style="1" width="15"/>
    <col collapsed="false" customWidth="true" hidden="false" outlineLevel="0" max="7" min="7" style="1" width="18"/>
    <col collapsed="false" customWidth="true" hidden="false" outlineLevel="0" max="8" min="8" style="1" width="15"/>
    <col collapsed="false" customWidth="true" hidden="false" outlineLevel="0" max="9" min="9" style="1" width="13"/>
    <col collapsed="false" customWidth="true" hidden="false" outlineLevel="0" max="10" min="10" style="1" width="2"/>
    <col collapsed="false" customWidth="true" hidden="false" outlineLevel="0" max="11" min="11" style="1" width="90"/>
  </cols>
  <sheetData>
    <row r="1" customFormat="false" ht="15.75" hidden="false" customHeight="true" outlineLevel="0" collapsed="false">
      <c r="A1" s="2" t="s">
        <v>645</v>
      </c>
    </row>
    <row r="2" customFormat="false" ht="15" hidden="false" customHeight="true" outlineLevel="0" collapsed="false">
      <c r="A2" s="114" t="s">
        <v>646</v>
      </c>
    </row>
    <row r="4" customFormat="false" ht="15" hidden="false" customHeight="true" outlineLevel="0" collapsed="false">
      <c r="A4" s="6" t="s">
        <v>647</v>
      </c>
      <c r="B4" s="6"/>
      <c r="C4" s="6"/>
      <c r="D4" s="6"/>
      <c r="E4" s="6"/>
      <c r="F4" s="6"/>
      <c r="G4" s="6"/>
      <c r="H4" s="6"/>
      <c r="I4" s="6"/>
    </row>
    <row r="5" customFormat="false" ht="15" hidden="false" customHeight="true" outlineLevel="0" collapsed="false">
      <c r="A5" s="9" t="s">
        <v>648</v>
      </c>
      <c r="B5" s="60" t="n">
        <f aca="false">DCF!B44</f>
        <v>2723.85990506494</v>
      </c>
    </row>
    <row r="6" customFormat="false" ht="15" hidden="false" customHeight="true" outlineLevel="0" collapsed="false">
      <c r="A6" s="9" t="s">
        <v>649</v>
      </c>
      <c r="B6" s="60" t="n">
        <f aca="false">DCF!B34</f>
        <v>601.87332832835</v>
      </c>
    </row>
    <row r="7" customFormat="false" ht="15" hidden="false" customHeight="true" outlineLevel="0" collapsed="false">
      <c r="A7" s="9" t="s">
        <v>650</v>
      </c>
      <c r="B7" s="60" t="n">
        <f aca="false">DCF!B35</f>
        <v>555.511582579841</v>
      </c>
    </row>
    <row r="8" customFormat="false" ht="15" hidden="false" customHeight="true" outlineLevel="0" collapsed="false">
      <c r="A8" s="9" t="s">
        <v>651</v>
      </c>
      <c r="B8" s="60" t="n">
        <f aca="false">'DCF Inputs'!I13</f>
        <v>1593.70631171968</v>
      </c>
    </row>
    <row r="9" customFormat="false" ht="15" hidden="false" customHeight="true" outlineLevel="0" collapsed="false">
      <c r="A9" s="9" t="s">
        <v>652</v>
      </c>
      <c r="B9" s="60" t="n">
        <f aca="false">'Income Statement'!I27</f>
        <v>1263.59785120143</v>
      </c>
    </row>
    <row r="10" customFormat="false" ht="15" hidden="false" customHeight="true" outlineLevel="0" collapsed="false">
      <c r="A10" s="9" t="s">
        <v>653</v>
      </c>
      <c r="B10" s="60" t="n">
        <f aca="false">'Balance Sheet'!E87</f>
        <v>1759.22997105812</v>
      </c>
    </row>
    <row r="11" customFormat="false" ht="15" hidden="false" customHeight="true" outlineLevel="0" collapsed="false">
      <c r="A11" s="9" t="s">
        <v>654</v>
      </c>
      <c r="B11" s="60" t="n">
        <f aca="false">'Balance Sheet'!E30</f>
        <v>119.526595775</v>
      </c>
    </row>
    <row r="12" customFormat="false" ht="15" hidden="false" customHeight="true" outlineLevel="0" collapsed="false">
      <c r="A12" s="9" t="s">
        <v>511</v>
      </c>
      <c r="B12" s="60" t="n">
        <f aca="false">'DCF Inputs'!B38</f>
        <v>1416.048</v>
      </c>
    </row>
    <row r="13" customFormat="false" ht="15" hidden="false" customHeight="true" outlineLevel="0" collapsed="false">
      <c r="A13" s="9" t="s">
        <v>655</v>
      </c>
      <c r="B13" s="120" t="n">
        <f aca="false">'DCF Inputs'!B40</f>
        <v>2.6595745</v>
      </c>
    </row>
    <row r="14" customFormat="false" ht="15" hidden="false" customHeight="true" outlineLevel="0" collapsed="false">
      <c r="A14" s="9" t="s">
        <v>513</v>
      </c>
      <c r="B14" s="100" t="n">
        <f aca="false">DCF!B54</f>
        <v>0.878</v>
      </c>
    </row>
    <row r="15" customFormat="false" ht="15" hidden="false" customHeight="true" outlineLevel="0" collapsed="false">
      <c r="A15" s="9" t="s">
        <v>656</v>
      </c>
      <c r="B15" s="117" t="n">
        <f aca="false">DCF!B16</f>
        <v>0.1327</v>
      </c>
    </row>
    <row r="16" customFormat="false" ht="15" hidden="false" customHeight="true" outlineLevel="0" collapsed="false">
      <c r="A16" s="9" t="s">
        <v>657</v>
      </c>
      <c r="B16" s="117" t="n">
        <f aca="false">DCF!B17</f>
        <v>0.02</v>
      </c>
    </row>
    <row r="19" customFormat="false" ht="18.75" hidden="false" customHeight="true" outlineLevel="0" collapsed="false">
      <c r="A19" s="6" t="s">
        <v>658</v>
      </c>
      <c r="B19" s="6"/>
      <c r="C19" s="6"/>
      <c r="D19" s="6"/>
      <c r="E19" s="6"/>
      <c r="F19" s="6"/>
      <c r="G19" s="6"/>
      <c r="H19" s="6"/>
      <c r="I19" s="6"/>
      <c r="K19" s="116" t="s">
        <v>659</v>
      </c>
    </row>
    <row r="21" customFormat="false" ht="15" hidden="false" customHeight="true" outlineLevel="0" collapsed="false">
      <c r="A21" s="19" t="s">
        <v>660</v>
      </c>
      <c r="B21" s="121" t="n">
        <v>0.01</v>
      </c>
      <c r="C21" s="121" t="n">
        <v>0.015</v>
      </c>
      <c r="D21" s="121" t="n">
        <v>0.02</v>
      </c>
      <c r="E21" s="121" t="n">
        <v>0.025</v>
      </c>
      <c r="F21" s="121" t="n">
        <v>0.03</v>
      </c>
    </row>
    <row r="22" customFormat="false" ht="15" hidden="false" customHeight="true" outlineLevel="0" collapsed="false">
      <c r="A22" s="121" t="n">
        <v>0.1127</v>
      </c>
      <c r="B22" s="102" t="n">
        <f aca="false">(((DCF!$B$28/(1+$A22)^1+DCF!$C$28/(1+$A22)^2+DCF!$D$28/(1+$A22)^3+DCF!$E$28/(1+$A22)^4)+((B6-B$21*B8)*(1+B$21)/($A22-B$21))/(1+$A22)^4)-B10-B11)/B12/B13</f>
        <v>1.25188065723417</v>
      </c>
      <c r="C22" s="102" t="n">
        <f aca="false">(((DCF!$B$28/(1+$A22)^1+DCF!$C$28/(1+$A22)^2+DCF!$D$28/(1+$A22)^3+DCF!$E$28/(1+$A22)^4)+((B6-C$21*B8)*(1+C$21)/($A22-C$21))/(1+$A22)^4)-B10-B11)/B12/B13</f>
        <v>1.29381772368712</v>
      </c>
      <c r="D22" s="102" t="n">
        <f aca="false">(((DCF!$B$28/(1+$A22)^1+DCF!$C$28/(1+$A22)^2+DCF!$D$28/(1+$A22)^3+DCF!$E$28/(1+$A22)^4)+((B6-D$21*B8)*(1+D$21)/($A22-D$21))/(1+$A22)^4)-B10-B11)/B12/B13</f>
        <v>1.34012984505641</v>
      </c>
      <c r="E22" s="102" t="n">
        <f aca="false">(((DCF!$B$28/(1+$A22)^1+DCF!$C$28/(1+$A22)^2+DCF!$D$28/(1+$A22)^3+DCF!$E$28/(1+$A22)^4)+((B6-E$21*B8)*(1+E$21)/($A22-E$21))/(1+$A22)^4)-B10-B11)/B12/B13</f>
        <v>1.39156532035851</v>
      </c>
      <c r="F22" s="102" t="n">
        <f aca="false">(((DCF!$B$28/(1+$A22)^1+DCF!$C$28/(1+$A22)^2+DCF!$D$28/(1+$A22)^3+DCF!$E$28/(1+$A22)^4)+((B6-F$21*B8)*(1+F$21)/($A22-F$21))/(1+$A22)^4)-B10-B11)/B12/B13</f>
        <v>1.44905341572392</v>
      </c>
    </row>
    <row r="23" customFormat="false" ht="15" hidden="false" customHeight="true" outlineLevel="0" collapsed="false">
      <c r="A23" s="121" t="n">
        <v>0.1227</v>
      </c>
      <c r="B23" s="102" t="n">
        <f aca="false">(((DCF!$B$28/(1+$A23)^1+DCF!$C$28/(1+$A23)^2+DCF!$D$28/(1+$A23)^3+DCF!$E$28/(1+$A23)^4)+((B6-B$21*B8)*(1+B$21)/($A23-B$21))/(1+$A23)^4)-B10-B11)/B12/B13</f>
        <v>1.11642786583448</v>
      </c>
      <c r="C23" s="102" t="n">
        <f aca="false">(((DCF!$B$28/(1+$A23)^1+DCF!$C$28/(1+$A23)^2+DCF!$D$28/(1+$A23)^3+DCF!$E$28/(1+$A23)^4)+((B6-C$21*B8)*(1+C$21)/($A23-C$21))/(1+$A23)^4)-B10-B11)/B12/B13</f>
        <v>1.14916641494092</v>
      </c>
      <c r="D23" s="102" t="n">
        <f aca="false">(((DCF!$B$28/(1+$A23)^1+DCF!$C$28/(1+$A23)^2+DCF!$D$28/(1+$A23)^3+DCF!$E$28/(1+$A23)^4)+((B6-D$21*B8)*(1+D$21)/($A23-D$21))/(1+$A23)^4)-B10-B11)/B12/B13</f>
        <v>1.18496307180849</v>
      </c>
      <c r="E23" s="102" t="n">
        <f aca="false">(((DCF!$B$28/(1+$A23)^1+DCF!$C$28/(1+$A23)^2+DCF!$D$28/(1+$A23)^3+DCF!$E$28/(1+$A23)^4)+((B6-E$21*B8)*(1+E$21)/($A23-E$21))/(1+$A23)^4)-B10-B11)/B12/B13</f>
        <v>1.22428735144656</v>
      </c>
      <c r="F23" s="102" t="n">
        <f aca="false">(((DCF!$B$28/(1+$A23)^1+DCF!$C$28/(1+$A23)^2+DCF!$D$28/(1+$A23)^3+DCF!$E$28/(1+$A23)^4)+((B6-F$21*B8)*(1+F$21)/($A23-F$21))/(1+$A23)^4)-B10-B11)/B12/B13</f>
        <v>1.26771006660117</v>
      </c>
    </row>
    <row r="24" customFormat="false" ht="15" hidden="false" customHeight="true" outlineLevel="0" collapsed="false">
      <c r="A24" s="121" t="n">
        <v>0.1327</v>
      </c>
      <c r="B24" s="102" t="n">
        <f aca="false">(((DCF!$B$28/(1+$A24)^1+DCF!$C$28/(1+$A24)^2+DCF!$D$28/(1+$A24)^3+DCF!$E$28/(1+$A24)^4)+((B6-B$21*B8)*(1+B$21)/($A24-B$21))/(1+$A24)^4)-B10-B11)/B12/B13</f>
        <v>1.00239451974162</v>
      </c>
      <c r="C24" s="102" t="n">
        <f aca="false">(((DCF!$B$28/(1+$A24)^1+DCF!$C$28/(1+$A24)^2+DCF!$D$28/(1+$A24)^3+DCF!$E$28/(1+$A24)^4)+((B6-C$21*B8)*(1+C$21)/($A24-C$21))/(1+$A24)^4)-B10-B11)/B12/B13</f>
        <v>1.02837501193855</v>
      </c>
      <c r="D24" s="102" t="n">
        <f aca="false">(((DCF!$B$28/(1+$A24)^1+DCF!$C$28/(1+$A24)^2+DCF!$D$28/(1+$A24)^3+DCF!$E$28/(1+$A24)^4)+((B6-D$21*B8)*(1+D$21)/($A24-D$21))/(1+$A24)^4)-B10-B11)/B12/B13</f>
        <v>1.05654673048974</v>
      </c>
      <c r="E24" s="102" t="n">
        <f aca="false">(((DCF!$B$28/(1+$A24)^1+DCF!$C$28/(1+$A24)^2+DCF!$D$28/(1+$A24)^3+DCF!$E$28/(1+$A24)^4)+((B6-E$21*B8)*(1+E$21)/($A24-E$21))/(1+$A24)^4)-B10-B11)/B12/B13</f>
        <v>1.08721486012417</v>
      </c>
      <c r="F24" s="102" t="n">
        <f aca="false">(((DCF!$B$28/(1+$A24)^1+DCF!$C$28/(1+$A24)^2+DCF!$D$28/(1+$A24)^3+DCF!$E$28/(1+$A24)^4)+((B6-F$21*B8)*(1+F$21)/($A24-F$21))/(1+$A24)^4)-B10-B11)/B12/B13</f>
        <v>1.12074401784524</v>
      </c>
    </row>
    <row r="25" customFormat="false" ht="15" hidden="false" customHeight="true" outlineLevel="0" collapsed="false">
      <c r="A25" s="121" t="n">
        <v>0.1427</v>
      </c>
      <c r="B25" s="102" t="n">
        <f aca="false">(((DCF!$B$28/(1+$A25)^1+DCF!$C$28/(1+$A25)^2+DCF!$D$28/(1+$A25)^3+DCF!$E$28/(1+$A25)^4)+((B6-B$21*B8)*(1+B$21)/($A25-B$21))/(1+$A25)^4)-B10-B11)/B12/B13</f>
        <v>0.904966506029787</v>
      </c>
      <c r="C25" s="102" t="n">
        <f aca="false">(((DCF!$B$28/(1+$A25)^1+DCF!$C$28/(1+$A25)^2+DCF!$D$28/(1+$A25)^3+DCF!$E$28/(1+$A25)^4)+((B6-C$21*B8)*(1+C$21)/($A25-C$21))/(1+$A25)^4)-B10-B11)/B12/B13</f>
        <v>0.925868980257404</v>
      </c>
      <c r="D25" s="102" t="n">
        <f aca="false">(((DCF!$B$28/(1+$A25)^1+DCF!$C$28/(1+$A25)^2+DCF!$D$28/(1+$A25)^3+DCF!$E$28/(1+$A25)^4)+((B6-D$21*B8)*(1+D$21)/($A25-D$21))/(1+$A25)^4)-B10-B11)/B12/B13</f>
        <v>0.948373859540413</v>
      </c>
      <c r="E25" s="102" t="n">
        <f aca="false">(((DCF!$B$28/(1+$A25)^1+DCF!$C$28/(1+$A25)^2+DCF!$D$28/(1+$A25)^3+DCF!$E$28/(1+$A25)^4)+((B6-E$21*B8)*(1+E$21)/($A25-E$21))/(1+$A25)^4)-B10-B11)/B12/B13</f>
        <v>0.972685358626741</v>
      </c>
      <c r="F25" s="102" t="n">
        <f aca="false">(((DCF!$B$28/(1+$A25)^1+DCF!$C$28/(1+$A25)^2+DCF!$D$28/(1+$A25)^3+DCF!$E$28/(1+$A25)^4)+((B6-F$21*B8)*(1+F$21)/($A25-F$21))/(1+$A25)^4)-B10-B11)/B12/B13</f>
        <v>0.999043932680981</v>
      </c>
    </row>
    <row r="26" customFormat="false" ht="15" hidden="false" customHeight="true" outlineLevel="0" collapsed="false">
      <c r="A26" s="121" t="n">
        <v>0.1527</v>
      </c>
      <c r="B26" s="102" t="n">
        <f aca="false">(((DCF!$B$28/(1+$A26)^1+DCF!$C$28/(1+$A26)^2+DCF!$D$28/(1+$A26)^3+DCF!$E$28/(1+$A26)^4)+((B6-B$21*B8)*(1+B$21)/($A26-B$21))/(1+$A26)^4)-B10-B11)/B12/B13</f>
        <v>0.820677682602783</v>
      </c>
      <c r="C26" s="102" t="n">
        <f aca="false">(((DCF!$B$28/(1+$A26)^1+DCF!$C$28/(1+$A26)^2+DCF!$D$28/(1+$A26)^3+DCF!$E$28/(1+$A26)^4)+((B6-C$21*B8)*(1+C$21)/($A26-C$21))/(1+$A26)^4)-B10-B11)/B12/B13</f>
        <v>0.837691521736856</v>
      </c>
      <c r="D26" s="102" t="n">
        <f aca="false">(((DCF!$B$28/(1+$A26)^1+DCF!$C$28/(1+$A26)^2+DCF!$D$28/(1+$A26)^3+DCF!$E$28/(1+$A26)^4)+((B6-D$21*B8)*(1+D$21)/($A26-D$21))/(1+$A26)^4)-B10-B11)/B12/B13</f>
        <v>0.855897175540416</v>
      </c>
      <c r="E26" s="102" t="n">
        <f aca="false">(((DCF!$B$28/(1+$A26)^1+DCF!$C$28/(1+$A26)^2+DCF!$D$28/(1+$A26)^3+DCF!$E$28/(1+$A26)^4)+((B6-E$21*B8)*(1+E$21)/($A26-E$21))/(1+$A26)^4)-B10-B11)/B12/B13</f>
        <v>0.875434637905727</v>
      </c>
      <c r="F26" s="102" t="n">
        <f aca="false">(((DCF!$B$28/(1+$A26)^1+DCF!$C$28/(1+$A26)^2+DCF!$D$28/(1+$A26)^3+DCF!$E$28/(1+$A26)^4)+((B6-F$21*B8)*(1+F$21)/($A26-F$21))/(1+$A26)^4)-B10-B11)/B12/B13</f>
        <v>0.8964667216154</v>
      </c>
    </row>
    <row r="28" customFormat="false" ht="18.75" hidden="false" customHeight="true" outlineLevel="0" collapsed="false">
      <c r="A28" s="6" t="s">
        <v>661</v>
      </c>
      <c r="B28" s="6"/>
      <c r="C28" s="6"/>
      <c r="D28" s="6"/>
      <c r="E28" s="6"/>
      <c r="F28" s="6"/>
      <c r="G28" s="6"/>
      <c r="H28" s="6"/>
      <c r="I28" s="6"/>
      <c r="K28" s="116" t="s">
        <v>662</v>
      </c>
    </row>
    <row r="30" customFormat="false" ht="15" hidden="false" customHeight="true" outlineLevel="0" collapsed="false">
      <c r="A30" s="19" t="s">
        <v>663</v>
      </c>
      <c r="B30" s="122" t="n">
        <v>3.5</v>
      </c>
      <c r="C30" s="122" t="n">
        <v>4</v>
      </c>
      <c r="D30" s="122" t="n">
        <v>4.5</v>
      </c>
      <c r="E30" s="122" t="n">
        <v>5</v>
      </c>
      <c r="F30" s="122" t="n">
        <v>5.5</v>
      </c>
      <c r="G30" s="122" t="n">
        <v>6</v>
      </c>
    </row>
    <row r="31" customFormat="false" ht="15" hidden="false" customHeight="true" outlineLevel="0" collapsed="false">
      <c r="A31" s="121" t="n">
        <v>0.1127</v>
      </c>
      <c r="B31" s="102" t="n">
        <f aca="false">(((DCF!$B$28/(1+$A31)^1+DCF!$C$28/(1+$A31)^2+DCF!$D$28/(1+$A31)^3+DCF!$E$28/(1+$A31)^4)+(B$30*B9)/(1+$A31)^4)-B10-B11)/B12/B13</f>
        <v>1.01980428784736</v>
      </c>
      <c r="C31" s="102" t="n">
        <f aca="false">(((DCF!$B$28/(1+$A31)^1+DCF!$C$28/(1+$A31)^2+DCF!$D$28/(1+$A31)^3+DCF!$E$28/(1+$A31)^4)+(C$30*B9)/(1+$A31)^4)-B10-B11)/B12/B13</f>
        <v>1.12924436627591</v>
      </c>
      <c r="D31" s="102" t="n">
        <f aca="false">(((DCF!$B$28/(1+$A31)^1+DCF!$C$28/(1+$A31)^2+DCF!$D$28/(1+$A31)^3+DCF!$E$28/(1+$A31)^4)+(D$30*B9)/(1+$A31)^4)-B10-B11)/B12/B13</f>
        <v>1.23868444470446</v>
      </c>
      <c r="E31" s="102" t="n">
        <f aca="false">(((DCF!$B$28/(1+$A31)^1+DCF!$C$28/(1+$A31)^2+DCF!$D$28/(1+$A31)^3+DCF!$E$28/(1+$A31)^4)+(E$30*B9)/(1+$A31)^4)-B10-B11)/B12/B13</f>
        <v>1.34812452313301</v>
      </c>
      <c r="F31" s="102" t="n">
        <f aca="false">(((DCF!$B$28/(1+$A31)^1+DCF!$C$28/(1+$A31)^2+DCF!$D$28/(1+$A31)^3+DCF!$E$28/(1+$A31)^4)+(F$30*B9)/(1+$A31)^4)-B10-B11)/B12/B13</f>
        <v>1.45756460156156</v>
      </c>
      <c r="G31" s="102" t="n">
        <f aca="false">(((DCF!$B$28/(1+$A31)^1+DCF!$C$28/(1+$A31)^2+DCF!$D$28/(1+$A31)^3+DCF!$E$28/(1+$A31)^4)+(G$30*B9)/(1+$A31)^4)-B10-B11)/B12/B13</f>
        <v>1.56700467999012</v>
      </c>
    </row>
    <row r="32" customFormat="false" ht="15" hidden="false" customHeight="true" outlineLevel="0" collapsed="false">
      <c r="A32" s="121" t="n">
        <v>0.1227</v>
      </c>
      <c r="B32" s="102" t="n">
        <f aca="false">(((DCF!$B$28/(1+$A32)^1+DCF!$C$28/(1+$A32)^2+DCF!$D$28/(1+$A32)^3+DCF!$E$28/(1+$A32)^4)+(B$30*B9)/(1+$A32)^4)-B10-B11)/B12/B13</f>
        <v>0.977964181289943</v>
      </c>
      <c r="C32" s="102" t="n">
        <f aca="false">(((DCF!$B$28/(1+$A32)^1+DCF!$C$28/(1+$A32)^2+DCF!$D$28/(1+$A32)^3+DCF!$E$28/(1+$A32)^4)+(C$30*B9)/(1+$A32)^4)-B10-B11)/B12/B13</f>
        <v>1.08355687212556</v>
      </c>
      <c r="D32" s="102" t="n">
        <f aca="false">(((DCF!$B$28/(1+$A32)^1+DCF!$C$28/(1+$A32)^2+DCF!$D$28/(1+$A32)^3+DCF!$E$28/(1+$A32)^4)+(D$30*B9)/(1+$A32)^4)-B10-B11)/B12/B13</f>
        <v>1.18914956296117</v>
      </c>
      <c r="E32" s="102" t="n">
        <f aca="false">(((DCF!$B$28/(1+$A32)^1+DCF!$C$28/(1+$A32)^2+DCF!$D$28/(1+$A32)^3+DCF!$E$28/(1+$A32)^4)+(E$30*B9)/(1+$A32)^4)-B10-B11)/B12/B13</f>
        <v>1.29474225379679</v>
      </c>
      <c r="F32" s="102" t="n">
        <f aca="false">(((DCF!$B$28/(1+$A32)^1+DCF!$C$28/(1+$A32)^2+DCF!$D$28/(1+$A32)^3+DCF!$E$28/(1+$A32)^4)+(F$30*B9)/(1+$A32)^4)-B10-B11)/B12/B13</f>
        <v>1.4003349446324</v>
      </c>
      <c r="G32" s="102" t="n">
        <f aca="false">(((DCF!$B$28/(1+$A32)^1+DCF!$C$28/(1+$A32)^2+DCF!$D$28/(1+$A32)^3+DCF!$E$28/(1+$A32)^4)+(G$30*B9)/(1+$A32)^4)-B10-B11)/B12/B13</f>
        <v>1.50592763546801</v>
      </c>
    </row>
    <row r="33" customFormat="false" ht="15" hidden="false" customHeight="true" outlineLevel="0" collapsed="false">
      <c r="A33" s="121" t="n">
        <v>0.1327</v>
      </c>
      <c r="B33" s="102" t="n">
        <f aca="false">(((DCF!$B$28/(1+$A33)^1+DCF!$C$28/(1+$A33)^2+DCF!$D$28/(1+$A33)^3+DCF!$E$28/(1+$A33)^4)+(B$30*B9)/(1+$A33)^4)-B10-B11)/B12/B13</f>
        <v>0.93778863850975</v>
      </c>
      <c r="C33" s="102" t="n">
        <f aca="false">(((DCF!$B$28/(1+$A33)^1+DCF!$C$28/(1+$A33)^2+DCF!$D$28/(1+$A33)^3+DCF!$E$28/(1+$A33)^4)+(C$30*B9)/(1+$A33)^4)-B10-B11)/B12/B13</f>
        <v>1.03970153518944</v>
      </c>
      <c r="D33" s="102" t="n">
        <f aca="false">(((DCF!$B$28/(1+$A33)^1+DCF!$C$28/(1+$A33)^2+DCF!$D$28/(1+$A33)^3+DCF!$E$28/(1+$A33)^4)+(D$30*B9)/(1+$A33)^4)-B10-B11)/B12/B13</f>
        <v>1.14161443186914</v>
      </c>
      <c r="E33" s="102" t="n">
        <f aca="false">(((DCF!$B$28/(1+$A33)^1+DCF!$C$28/(1+$A33)^2+DCF!$D$28/(1+$A33)^3+DCF!$E$28/(1+$A33)^4)+(E$30*B9)/(1+$A33)^4)-B10-B11)/B12/B13</f>
        <v>1.24352732854883</v>
      </c>
      <c r="F33" s="102" t="n">
        <f aca="false">(((DCF!$B$28/(1+$A33)^1+DCF!$C$28/(1+$A33)^2+DCF!$D$28/(1+$A33)^3+DCF!$E$28/(1+$A33)^4)+(F$30*B9)/(1+$A33)^4)-B10-B11)/B12/B13</f>
        <v>1.34544022522852</v>
      </c>
      <c r="G33" s="102" t="n">
        <f aca="false">(((DCF!$B$28/(1+$A33)^1+DCF!$C$28/(1+$A33)^2+DCF!$D$28/(1+$A33)^3+DCF!$E$28/(1+$A33)^4)+(G$30*B9)/(1+$A33)^4)-B10-B11)/B12/B13</f>
        <v>1.44735312190821</v>
      </c>
    </row>
    <row r="34" customFormat="false" ht="15" hidden="false" customHeight="true" outlineLevel="0" collapsed="false">
      <c r="A34" s="121" t="n">
        <v>0.1427</v>
      </c>
      <c r="B34" s="102" t="n">
        <f aca="false">(((DCF!$B$28/(1+$A34)^1+DCF!$C$28/(1+$A34)^2+DCF!$D$28/(1+$A34)^3+DCF!$E$28/(1+$A34)^4)+(B$30*B9)/(1+$A34)^4)-B10-B11)/B12/B13</f>
        <v>0.899195337574829</v>
      </c>
      <c r="C34" s="102" t="n">
        <f aca="false">(((DCF!$B$28/(1+$A34)^1+DCF!$C$28/(1+$A34)^2+DCF!$D$28/(1+$A34)^3+DCF!$E$28/(1+$A34)^4)+(C$30*B9)/(1+$A34)^4)-B10-B11)/B12/B13</f>
        <v>0.997587348851829</v>
      </c>
      <c r="D34" s="102" t="n">
        <f aca="false">(((DCF!$B$28/(1+$A34)^1+DCF!$C$28/(1+$A34)^2+DCF!$D$28/(1+$A34)^3+DCF!$E$28/(1+$A34)^4)+(D$30*B9)/(1+$A34)^4)-B10-B11)/B12/B13</f>
        <v>1.09597936012883</v>
      </c>
      <c r="E34" s="102" t="n">
        <f aca="false">(((DCF!$B$28/(1+$A34)^1+DCF!$C$28/(1+$A34)^2+DCF!$D$28/(1+$A34)^3+DCF!$E$28/(1+$A34)^4)+(E$30*B9)/(1+$A34)^4)-B10-B11)/B12/B13</f>
        <v>1.19437137140583</v>
      </c>
      <c r="F34" s="102" t="n">
        <f aca="false">(((DCF!$B$28/(1+$A34)^1+DCF!$C$28/(1+$A34)^2+DCF!$D$28/(1+$A34)^3+DCF!$E$28/(1+$A34)^4)+(F$30*B9)/(1+$A34)^4)-B10-B11)/B12/B13</f>
        <v>1.29276338268283</v>
      </c>
      <c r="G34" s="102" t="n">
        <f aca="false">(((DCF!$B$28/(1+$A34)^1+DCF!$C$28/(1+$A34)^2+DCF!$D$28/(1+$A34)^3+DCF!$E$28/(1+$A34)^4)+(G$30*B9)/(1+$A34)^4)-B10-B11)/B12/B13</f>
        <v>1.39115539395983</v>
      </c>
    </row>
    <row r="35" customFormat="false" ht="15" hidden="false" customHeight="true" outlineLevel="0" collapsed="false">
      <c r="A35" s="121" t="n">
        <v>0.1527</v>
      </c>
      <c r="B35" s="102" t="n">
        <f aca="false">(((DCF!$B$28/(1+$A35)^1+DCF!$C$28/(1+$A35)^2+DCF!$D$28/(1+$A35)^3+DCF!$E$28/(1+$A35)^4)+(B$30*B9)/(1+$A35)^4)-B10-B11)/B12/B13</f>
        <v>0.86210675313641</v>
      </c>
      <c r="C35" s="102" t="n">
        <f aca="false">(((DCF!$B$28/(1+$A35)^1+DCF!$C$28/(1+$A35)^2+DCF!$D$28/(1+$A35)^3+DCF!$E$28/(1+$A35)^4)+(C$30*B9)/(1+$A35)^4)-B10-B11)/B12/B13</f>
        <v>0.957128623621345</v>
      </c>
      <c r="D35" s="102" t="n">
        <f aca="false">(((DCF!$B$28/(1+$A35)^1+DCF!$C$28/(1+$A35)^2+DCF!$D$28/(1+$A35)^3+DCF!$E$28/(1+$A35)^4)+(D$30*B9)/(1+$A35)^4)-B10-B11)/B12/B13</f>
        <v>1.05215049410628</v>
      </c>
      <c r="E35" s="102" t="n">
        <f aca="false">(((DCF!$B$28/(1+$A35)^1+DCF!$C$28/(1+$A35)^2+DCF!$D$28/(1+$A35)^3+DCF!$E$28/(1+$A35)^4)+(E$30*B9)/(1+$A35)^4)-B10-B11)/B12/B13</f>
        <v>1.14717236459122</v>
      </c>
      <c r="F35" s="102" t="n">
        <f aca="false">(((DCF!$B$28/(1+$A35)^1+DCF!$C$28/(1+$A35)^2+DCF!$D$28/(1+$A35)^3+DCF!$E$28/(1+$A35)^4)+(F$30*B9)/(1+$A35)^4)-B10-B11)/B12/B13</f>
        <v>1.24219423507615</v>
      </c>
      <c r="G35" s="102" t="n">
        <f aca="false">(((DCF!$B$28/(1+$A35)^1+DCF!$C$28/(1+$A35)^2+DCF!$D$28/(1+$A35)^3+DCF!$E$28/(1+$A35)^4)+(G$30*B9)/(1+$A35)^4)-B10-B11)/B12/B13</f>
        <v>1.33721610556109</v>
      </c>
    </row>
    <row r="37" customFormat="false" ht="27" hidden="false" customHeight="true" outlineLevel="0" collapsed="false">
      <c r="A37" s="6" t="s">
        <v>664</v>
      </c>
      <c r="B37" s="6"/>
      <c r="C37" s="6"/>
      <c r="D37" s="6"/>
      <c r="E37" s="6"/>
      <c r="F37" s="6"/>
      <c r="G37" s="6"/>
      <c r="H37" s="6"/>
      <c r="I37" s="6"/>
      <c r="K37" s="116" t="s">
        <v>665</v>
      </c>
    </row>
    <row r="39" customFormat="false" ht="15" hidden="false" customHeight="true" outlineLevel="0" collapsed="false">
      <c r="A39" s="9"/>
      <c r="B39" s="123" t="n">
        <v>1450</v>
      </c>
      <c r="C39" s="123" t="n">
        <v>1550</v>
      </c>
      <c r="D39" s="123" t="n">
        <v>1620</v>
      </c>
      <c r="E39" s="123" t="n">
        <v>1720</v>
      </c>
      <c r="F39" s="123" t="n">
        <v>1820</v>
      </c>
      <c r="G39" s="19" t="s">
        <v>666</v>
      </c>
      <c r="H39" s="24" t="n">
        <v>0.75</v>
      </c>
    </row>
    <row r="40" customFormat="false" ht="15" hidden="false" customHeight="true" outlineLevel="0" collapsed="false">
      <c r="A40" s="123" t="n">
        <v>2400</v>
      </c>
      <c r="B40" s="102" t="n">
        <f aca="false">(((B5+((((($A40-2750)*(B$39+295)*$H$39)+(((B$39+295)-1910)*B9/1910*1000))/1000)*0.85)/(1+$B$15)^4)+(((B6+(((($A40-2750)*(B$39+295)*$H$39)+(((B$39+295)-1910)*B9/1910*1000))/1000)*0.85)-$B$16*B8)*(1+$B$16)/($B$15-$B$16))/(1+$B$15)^4)-B10-B11)/B12/B13</f>
        <v>0.274895818283977</v>
      </c>
      <c r="C40" s="102" t="n">
        <f aca="false">(((B5+((((($A40-2750)*(C$39+295)*$H$39)+(((C$39+295)-1910)*B9/1910*1000))/1000)*0.85)/(1+$B$15)^4)+(((B6+(((($A40-2750)*(C$39+295)*$H$39)+(((C$39+295)-1910)*B9/1910*1000))/1000)*0.85)-$B$16*B8)*(1+$B$16)/($B$15-$B$16))/(1+$B$15)^4)-B10-B11)/B12/B13</f>
        <v>0.32988899026317</v>
      </c>
      <c r="D40" s="102" t="n">
        <f aca="false">(((B5+((((($A40-2750)*(D$39+295)*$H$39)+(((D$39+295)-1910)*B9/1910*1000))/1000)*0.85)/(1+$B$15)^4)+(((B6+(((($A40-2750)*(D$39+295)*$H$39)+(((D$39+295)-1910)*B9/1910*1000))/1000)*0.85)-$B$16*B8)*(1+$B$16)/($B$15-$B$16))/(1+$B$15)^4)-B10-B11)/B12/B13</f>
        <v>0.368384210648605</v>
      </c>
      <c r="E40" s="102" t="n">
        <f aca="false">(((B5+((((($A40-2750)*(E$39+295)*$H$39)+(((E$39+295)-1910)*B9/1910*1000))/1000)*0.85)/(1+$B$15)^4)+(((B6+(((($A40-2750)*(E$39+295)*$H$39)+(((E$39+295)-1910)*B9/1910*1000))/1000)*0.85)-$B$16*B8)*(1+$B$16)/($B$15-$B$16))/(1+$B$15)^4)-B10-B11)/B12/B13</f>
        <v>0.423377382627798</v>
      </c>
      <c r="F40" s="102" t="n">
        <f aca="false">(((B5+((((($A40-2750)*(F$39+295)*$H$39)+(((F$39+295)-1910)*B9/1910*1000))/1000)*0.85)/(1+$B$15)^4)+(((B6+(((($A40-2750)*(F$39+295)*$H$39)+(((F$39+295)-1910)*B9/1910*1000))/1000)*0.85)-$B$16*B8)*(1+$B$16)/($B$15-$B$16))/(1+$B$15)^4)-B10-B11)/B12/B13</f>
        <v>0.478370554606991</v>
      </c>
    </row>
    <row r="41" customFormat="false" ht="15" hidden="false" customHeight="true" outlineLevel="0" collapsed="false">
      <c r="A41" s="123" t="n">
        <v>2550</v>
      </c>
      <c r="B41" s="102" t="n">
        <f aca="false">(((B5+((((($A41-2750)*(B$39+295)*$H$39)+(((B$39+295)-1910)*B9/1910*1000))/1000)*0.85)/(1+$B$15)^4)+(((B6+(((($A41-2750)*(B$39+295)*$H$39)+(((B$39+295)-1910)*B9/1910*1000))/1000)*0.85)-$B$16*B8)*(1+$B$16)/($B$15-$B$16))/(1+$B$15)^4)-B10-B11)/B12/B13</f>
        <v>0.545421267359061</v>
      </c>
      <c r="C41" s="102" t="n">
        <f aca="false">(((B5+((((($A41-2750)*(C$39+295)*$H$39)+(((C$39+295)-1910)*B9/1910*1000))/1000)*0.85)/(1+$B$15)^4)+(((B6+(((($A41-2750)*(C$39+295)*$H$39)+(((C$39+295)-1910)*B9/1910*1000))/1000)*0.85)-$B$16*B8)*(1+$B$16)/($B$15-$B$16))/(1+$B$15)^4)-B10-B11)/B12/B13</f>
        <v>0.615917330402729</v>
      </c>
      <c r="D41" s="102" t="n">
        <f aca="false">(((B5+((((($A41-2750)*(D$39+295)*$H$39)+(((D$39+295)-1910)*B9/1910*1000))/1000)*0.85)/(1+$B$15)^4)+(((B6+(((($A41-2750)*(D$39+295)*$H$39)+(((D$39+295)-1910)*B9/1910*1000))/1000)*0.85)-$B$16*B8)*(1+$B$16)/($B$15-$B$16))/(1+$B$15)^4)-B10-B11)/B12/B13</f>
        <v>0.665264574533296</v>
      </c>
      <c r="E41" s="102" t="n">
        <f aca="false">(((B5+((((($A41-2750)*(E$39+295)*$H$39)+(((E$39+295)-1910)*B9/1910*1000))/1000)*0.85)/(1+$B$15)^4)+(((B6+(((($A41-2750)*(E$39+295)*$H$39)+(((E$39+295)-1910)*B9/1910*1000))/1000)*0.85)-$B$16*B8)*(1+$B$16)/($B$15-$B$16))/(1+$B$15)^4)-B10-B11)/B12/B13</f>
        <v>0.735760637576964</v>
      </c>
      <c r="F41" s="102" t="n">
        <f aca="false">(((B5+((((($A41-2750)*(F$39+295)*$H$39)+(((F$39+295)-1910)*B9/1910*1000))/1000)*0.85)/(1+$B$15)^4)+(((B6+(((($A41-2750)*(F$39+295)*$H$39)+(((F$39+295)-1910)*B9/1910*1000))/1000)*0.85)-$B$16*B8)*(1+$B$16)/($B$15-$B$16))/(1+$B$15)^4)-B10-B11)/B12/B13</f>
        <v>0.806256700620632</v>
      </c>
    </row>
    <row r="42" customFormat="false" ht="15" hidden="false" customHeight="true" outlineLevel="0" collapsed="false">
      <c r="A42" s="123" t="n">
        <v>2700</v>
      </c>
      <c r="B42" s="102" t="n">
        <f aca="false">(((B5+((((($A42-2750)*(B$39+295)*$H$39)+(((B$39+295)-1910)*B9/1910*1000))/1000)*0.85)/(1+$B$15)^4)+(((B6+(((($A42-2750)*(B$39+295)*$H$39)+(((B$39+295)-1910)*B9/1910*1000))/1000)*0.85)-$B$16*B8)*(1+$B$16)/($B$15-$B$16))/(1+$B$15)^4)-B10-B11)/B12/B13</f>
        <v>0.815946716434145</v>
      </c>
      <c r="C42" s="102" t="n">
        <f aca="false">(((B5+((((($A42-2750)*(C$39+295)*$H$39)+(((C$39+295)-1910)*B9/1910*1000))/1000)*0.85)/(1+$B$15)^4)+(((B6+(((($A42-2750)*(C$39+295)*$H$39)+(((C$39+295)-1910)*B9/1910*1000))/1000)*0.85)-$B$16*B8)*(1+$B$16)/($B$15-$B$16))/(1+$B$15)^4)-B10-B11)/B12/B13</f>
        <v>0.901945670542288</v>
      </c>
      <c r="D42" s="102" t="n">
        <f aca="false">(((B5+((((($A42-2750)*(D$39+295)*$H$39)+(((D$39+295)-1910)*B9/1910*1000))/1000)*0.85)/(1+$B$15)^4)+(((B6+(((($A42-2750)*(D$39+295)*$H$39)+(((D$39+295)-1910)*B9/1910*1000))/1000)*0.85)-$B$16*B8)*(1+$B$16)/($B$15-$B$16))/(1+$B$15)^4)-B10-B11)/B12/B13</f>
        <v>0.962144938417987</v>
      </c>
      <c r="E42" s="102" t="n">
        <f aca="false">(((B5+((((($A42-2750)*(E$39+295)*$H$39)+(((E$39+295)-1910)*B9/1910*1000))/1000)*0.85)/(1+$B$15)^4)+(((B6+(((($A42-2750)*(E$39+295)*$H$39)+(((E$39+295)-1910)*B9/1910*1000))/1000)*0.85)-$B$16*B8)*(1+$B$16)/($B$15-$B$16))/(1+$B$15)^4)-B10-B11)/B12/B13</f>
        <v>1.04814389252613</v>
      </c>
      <c r="F42" s="102" t="n">
        <f aca="false">(((B5+((((($A42-2750)*(F$39+295)*$H$39)+(((F$39+295)-1910)*B9/1910*1000))/1000)*0.85)/(1+$B$15)^4)+(((B6+(((($A42-2750)*(F$39+295)*$H$39)+(((F$39+295)-1910)*B9/1910*1000))/1000)*0.85)-$B$16*B8)*(1+$B$16)/($B$15-$B$16))/(1+$B$15)^4)-B10-B11)/B12/B13</f>
        <v>1.13414284663427</v>
      </c>
    </row>
    <row r="43" customFormat="false" ht="15" hidden="false" customHeight="true" outlineLevel="0" collapsed="false">
      <c r="A43" s="123" t="n">
        <v>2750</v>
      </c>
      <c r="B43" s="102" t="n">
        <f aca="false">(((B5+((((($A43-2750)*(B$39+295)*$H$39)+(((B$39+295)-1910)*B9/1910*1000))/1000)*0.85)/(1+$B$15)^4)+(((B6+(((($A43-2750)*(B$39+295)*$H$39)+(((B$39+295)-1910)*B9/1910*1000))/1000)*0.85)-$B$16*B8)*(1+$B$16)/($B$15-$B$16))/(1+$B$15)^4)-B10-B11)/B12/B13</f>
        <v>0.90612186612584</v>
      </c>
      <c r="C43" s="102" t="n">
        <f aca="false">(((B5+((((($A43-2750)*(C$39+295)*$H$39)+(((C$39+295)-1910)*B9/1910*1000))/1000)*0.85)/(1+$B$15)^4)+(((B6+(((($A43-2750)*(C$39+295)*$H$39)+(((C$39+295)-1910)*B9/1910*1000))/1000)*0.85)-$B$16*B8)*(1+$B$16)/($B$15-$B$16))/(1+$B$15)^4)-B10-B11)/B12/B13</f>
        <v>0.997288450588808</v>
      </c>
      <c r="D43" s="102" t="n">
        <f aca="false">(((B5+((((($A43-2750)*(D$39+295)*$H$39)+(((D$39+295)-1910)*B9/1910*1000))/1000)*0.85)/(1+$B$15)^4)+(((B6+(((($A43-2750)*(D$39+295)*$H$39)+(((D$39+295)-1910)*B9/1910*1000))/1000)*0.85)-$B$16*B8)*(1+$B$16)/($B$15-$B$16))/(1+$B$15)^4)-B10-B11)/B12/B13</f>
        <v>1.06110505971288</v>
      </c>
      <c r="E43" s="102" t="n">
        <f aca="false">(((B5+((((($A43-2750)*(E$39+295)*$H$39)+(((E$39+295)-1910)*B9/1910*1000))/1000)*0.85)/(1+$B$15)^4)+(((B6+(((($A43-2750)*(E$39+295)*$H$39)+(((E$39+295)-1910)*B9/1910*1000))/1000)*0.85)-$B$16*B8)*(1+$B$16)/($B$15-$B$16))/(1+$B$15)^4)-B10-B11)/B12/B13</f>
        <v>1.15227164417585</v>
      </c>
      <c r="F43" s="102" t="n">
        <f aca="false">(((B5+((((($A43-2750)*(F$39+295)*$H$39)+(((F$39+295)-1910)*B9/1910*1000))/1000)*0.85)/(1+$B$15)^4)+(((B6+(((($A43-2750)*(F$39+295)*$H$39)+(((F$39+295)-1910)*B9/1910*1000))/1000)*0.85)-$B$16*B8)*(1+$B$16)/($B$15-$B$16))/(1+$B$15)^4)-B10-B11)/B12/B13</f>
        <v>1.24343822863882</v>
      </c>
    </row>
    <row r="44" customFormat="false" ht="15" hidden="false" customHeight="true" outlineLevel="0" collapsed="false">
      <c r="A44" s="123" t="n">
        <v>2900</v>
      </c>
      <c r="B44" s="102" t="n">
        <f aca="false">(((B5+((((($A44-2750)*(B$39+295)*$H$39)+(((B$39+295)-1910)*B9/1910*1000))/1000)*0.85)/(1+$B$15)^4)+(((B6+(((($A44-2750)*(B$39+295)*$H$39)+(((B$39+295)-1910)*B9/1910*1000))/1000)*0.85)-$B$16*B8)*(1+$B$16)/($B$15-$B$16))/(1+$B$15)^4)-B10-B11)/B12/B13</f>
        <v>1.17664731520092</v>
      </c>
      <c r="C44" s="102" t="n">
        <f aca="false">(((B5+((((($A44-2750)*(C$39+295)*$H$39)+(((C$39+295)-1910)*B9/1910*1000))/1000)*0.85)/(1+$B$15)^4)+(((B6+(((($A44-2750)*(C$39+295)*$H$39)+(((C$39+295)-1910)*B9/1910*1000))/1000)*0.85)-$B$16*B8)*(1+$B$16)/($B$15-$B$16))/(1+$B$15)^4)-B10-B11)/B12/B13</f>
        <v>1.28331679072837</v>
      </c>
      <c r="D44" s="102" t="n">
        <f aca="false">(((B5+((((($A44-2750)*(D$39+295)*$H$39)+(((D$39+295)-1910)*B9/1910*1000))/1000)*0.85)/(1+$B$15)^4)+(((B6+(((($A44-2750)*(D$39+295)*$H$39)+(((D$39+295)-1910)*B9/1910*1000))/1000)*0.85)-$B$16*B8)*(1+$B$16)/($B$15-$B$16))/(1+$B$15)^4)-B10-B11)/B12/B13</f>
        <v>1.35798542359758</v>
      </c>
      <c r="E44" s="102" t="n">
        <f aca="false">(((B5+((((($A44-2750)*(E$39+295)*$H$39)+(((E$39+295)-1910)*B9/1910*1000))/1000)*0.85)/(1+$B$15)^4)+(((B6+(((($A44-2750)*(E$39+295)*$H$39)+(((E$39+295)-1910)*B9/1910*1000))/1000)*0.85)-$B$16*B8)*(1+$B$16)/($B$15-$B$16))/(1+$B$15)^4)-B10-B11)/B12/B13</f>
        <v>1.46465489912502</v>
      </c>
      <c r="F44" s="102" t="n">
        <f aca="false">(((B5+((((($A44-2750)*(F$39+295)*$H$39)+(((F$39+295)-1910)*B9/1910*1000))/1000)*0.85)/(1+$B$15)^4)+(((B6+(((($A44-2750)*(F$39+295)*$H$39)+(((F$39+295)-1910)*B9/1910*1000))/1000)*0.85)-$B$16*B8)*(1+$B$16)/($B$15-$B$16))/(1+$B$15)^4)-B10-B11)/B12/B13</f>
        <v>1.57132437465246</v>
      </c>
    </row>
    <row r="45" customFormat="false" ht="15" hidden="false" customHeight="true" outlineLevel="0" collapsed="false">
      <c r="A45" s="123" t="n">
        <v>3050</v>
      </c>
      <c r="B45" s="102" t="n">
        <f aca="false">(((B5+((((($A45-2750)*(B$39+295)*$H$39)+(((B$39+295)-1910)*B9/1910*1000))/1000)*0.85)/(1+$B$15)^4)+(((B6+(((($A45-2750)*(B$39+295)*$H$39)+(((B$39+295)-1910)*B9/1910*1000))/1000)*0.85)-$B$16*B8)*(1+$B$16)/($B$15-$B$16))/(1+$B$15)^4)-B10-B11)/B12/B13</f>
        <v>1.44717276427601</v>
      </c>
      <c r="C45" s="102" t="n">
        <f aca="false">(((B5+((((($A45-2750)*(C$39+295)*$H$39)+(((C$39+295)-1910)*B9/1910*1000))/1000)*0.85)/(1+$B$15)^4)+(((B6+(((($A45-2750)*(C$39+295)*$H$39)+(((C$39+295)-1910)*B9/1910*1000))/1000)*0.85)-$B$16*B8)*(1+$B$16)/($B$15-$B$16))/(1+$B$15)^4)-B10-B11)/B12/B13</f>
        <v>1.56934513086793</v>
      </c>
      <c r="D45" s="102" t="n">
        <f aca="false">(((B5+((((($A45-2750)*(D$39+295)*$H$39)+(((D$39+295)-1910)*B9/1910*1000))/1000)*0.85)/(1+$B$15)^4)+(((B6+(((($A45-2750)*(D$39+295)*$H$39)+(((D$39+295)-1910)*B9/1910*1000))/1000)*0.85)-$B$16*B8)*(1+$B$16)/($B$15-$B$16))/(1+$B$15)^4)-B10-B11)/B12/B13</f>
        <v>1.65486578748227</v>
      </c>
      <c r="E45" s="102" t="n">
        <f aca="false">(((B5+((((($A45-2750)*(E$39+295)*$H$39)+(((E$39+295)-1910)*B9/1910*1000))/1000)*0.85)/(1+$B$15)^4)+(((B6+(((($A45-2750)*(E$39+295)*$H$39)+(((E$39+295)-1910)*B9/1910*1000))/1000)*0.85)-$B$16*B8)*(1+$B$16)/($B$15-$B$16))/(1+$B$15)^4)-B10-B11)/B12/B13</f>
        <v>1.77703815407418</v>
      </c>
      <c r="F45" s="102" t="n">
        <f aca="false">(((B5+((((($A45-2750)*(F$39+295)*$H$39)+(((F$39+295)-1910)*B9/1910*1000))/1000)*0.85)/(1+$B$15)^4)+(((B6+(((($A45-2750)*(F$39+295)*$H$39)+(((F$39+295)-1910)*B9/1910*1000))/1000)*0.85)-$B$16*B8)*(1+$B$16)/($B$15-$B$16))/(1+$B$15)^4)-B10-B11)/B12/B13</f>
        <v>1.8992105206661</v>
      </c>
    </row>
    <row r="47" customFormat="false" ht="27" hidden="false" customHeight="true" outlineLevel="0" collapsed="false">
      <c r="A47" s="6" t="s">
        <v>667</v>
      </c>
      <c r="B47" s="6"/>
      <c r="C47" s="6"/>
      <c r="D47" s="6"/>
      <c r="E47" s="6"/>
      <c r="F47" s="6"/>
      <c r="G47" s="6"/>
      <c r="H47" s="6"/>
      <c r="I47" s="6"/>
      <c r="K47" s="116" t="s">
        <v>668</v>
      </c>
    </row>
    <row r="49" customFormat="false" ht="34.5" hidden="false" customHeight="true" outlineLevel="0" collapsed="false">
      <c r="A49" s="115" t="s">
        <v>669</v>
      </c>
      <c r="B49" s="115" t="s">
        <v>670</v>
      </c>
      <c r="C49" s="115" t="s">
        <v>671</v>
      </c>
      <c r="D49" s="115" t="s">
        <v>672</v>
      </c>
      <c r="E49" s="115" t="s">
        <v>673</v>
      </c>
    </row>
    <row r="50" customFormat="false" ht="15" hidden="false" customHeight="true" outlineLevel="0" collapsed="false">
      <c r="A50" s="10" t="n">
        <v>100</v>
      </c>
      <c r="B50" s="50" t="n">
        <f aca="false">A50/300*1000</f>
        <v>333.333333333333</v>
      </c>
      <c r="C50" s="67" t="n">
        <f aca="false">(((B5+(($A50-'Revenue Model'!F96)*0.85)/(1+$B$15)^1+(($A50-'Revenue Model'!G96)*0.85)/(1+$B$15)^2+(($A50-'Revenue Model'!H96)*0.85)/(1+$B$15)^3+(($A50-'Revenue Model'!I96)*0.85)/(1+$B$15)^4)+(((B6+($A50-'Revenue Model'!I96)*0.85)-$B$16*B8)*(1+$B$16)/($B$15-$B$16))/(1+$B$15)^4)-B10-B11)/B12/B13</f>
        <v>0.999864720737611</v>
      </c>
      <c r="D50" s="14" t="n">
        <f aca="false">C50/B14-1</f>
        <v>0.138798087400468</v>
      </c>
      <c r="E50" s="102" t="n">
        <f aca="false">C50-DCF!$B$53</f>
        <v>-0.0566820097521258</v>
      </c>
    </row>
    <row r="51" customFormat="false" ht="15" hidden="false" customHeight="true" outlineLevel="0" collapsed="false">
      <c r="A51" s="10" t="n">
        <v>150</v>
      </c>
      <c r="B51" s="50" t="n">
        <f aca="false">A51/300*1000</f>
        <v>500</v>
      </c>
      <c r="C51" s="67" t="n">
        <f aca="false">(((B5+(($A51-'Revenue Model'!F96)*0.85)/(1+$B$15)^1+(($A51-'Revenue Model'!G96)*0.85)/(1+$B$15)^2+(($A51-'Revenue Model'!H96)*0.85)/(1+$B$15)^3+(($A51-'Revenue Model'!I96)*0.85)/(1+$B$15)^4)+(((B6+($A51-'Revenue Model'!I96)*0.85)-$B$16*B8)*(1+$B$16)/($B$15-$B$16))/(1+$B$15)^4)-B10-B11)/B12/B13</f>
        <v>1.0952902129787</v>
      </c>
      <c r="D51" s="14" t="n">
        <f aca="false">C51/B14-1</f>
        <v>0.247483158290086</v>
      </c>
      <c r="E51" s="102" t="n">
        <f aca="false">C51-DCF!$B$53</f>
        <v>0.0387434824889592</v>
      </c>
    </row>
    <row r="52" customFormat="false" ht="15" hidden="false" customHeight="true" outlineLevel="0" collapsed="false">
      <c r="A52" s="10" t="n">
        <v>200</v>
      </c>
      <c r="B52" s="50" t="n">
        <f aca="false">A52/300*1000</f>
        <v>666.666666666667</v>
      </c>
      <c r="C52" s="67" t="n">
        <f aca="false">(((B5+(($A52-'Revenue Model'!F96)*0.85)/(1+$B$15)^1+(($A52-'Revenue Model'!G96)*0.85)/(1+$B$15)^2+(($A52-'Revenue Model'!H96)*0.85)/(1+$B$15)^3+(($A52-'Revenue Model'!I96)*0.85)/(1+$B$15)^4)+(((B6+($A52-'Revenue Model'!I96)*0.85)-$B$16*B8)*(1+$B$16)/($B$15-$B$16))/(1+$B$15)^4)-B10-B11)/B12/B13</f>
        <v>1.19071570521978</v>
      </c>
      <c r="D52" s="14" t="n">
        <f aca="false">C52/B14-1</f>
        <v>0.356168229179705</v>
      </c>
      <c r="E52" s="102" t="n">
        <f aca="false">C52-DCF!$B$53</f>
        <v>0.134168974730045</v>
      </c>
    </row>
    <row r="53" customFormat="false" ht="15" hidden="false" customHeight="true" outlineLevel="0" collapsed="false">
      <c r="A53" s="10" t="n">
        <v>250</v>
      </c>
      <c r="B53" s="50" t="n">
        <f aca="false">A53/300*1000</f>
        <v>833.333333333333</v>
      </c>
      <c r="C53" s="67" t="n">
        <f aca="false">(((B5+(($A53-'Revenue Model'!F96)*0.85)/(1+$B$15)^1+(($A53-'Revenue Model'!G96)*0.85)/(1+$B$15)^2+(($A53-'Revenue Model'!H96)*0.85)/(1+$B$15)^3+(($A53-'Revenue Model'!I96)*0.85)/(1+$B$15)^4)+(((B6+($A53-'Revenue Model'!I96)*0.85)-$B$16*B8)*(1+$B$16)/($B$15-$B$16))/(1+$B$15)^4)-B10-B11)/B12/B13</f>
        <v>1.28614119746087</v>
      </c>
      <c r="D53" s="14" t="n">
        <f aca="false">C53/B14-1</f>
        <v>0.464853300069324</v>
      </c>
      <c r="E53" s="102" t="n">
        <f aca="false">C53-DCF!$B$53</f>
        <v>0.22959446697113</v>
      </c>
    </row>
    <row r="54" customFormat="false" ht="15" hidden="false" customHeight="true" outlineLevel="0" collapsed="false">
      <c r="A54" s="10" t="n">
        <v>300</v>
      </c>
      <c r="B54" s="50" t="n">
        <f aca="false">A54/300*1000</f>
        <v>1000</v>
      </c>
      <c r="C54" s="67" t="n">
        <f aca="false">(((B5+(($A54-'Revenue Model'!F96)*0.85)/(1+$B$15)^1+(($A54-'Revenue Model'!G96)*0.85)/(1+$B$15)^2+(($A54-'Revenue Model'!H96)*0.85)/(1+$B$15)^3+(($A54-'Revenue Model'!I96)*0.85)/(1+$B$15)^4)+(((B6+($A54-'Revenue Model'!I96)*0.85)-$B$16*B8)*(1+$B$16)/($B$15-$B$16))/(1+$B$15)^4)-B10-B11)/B12/B13</f>
        <v>1.38156668970195</v>
      </c>
      <c r="D54" s="14" t="n">
        <f aca="false">C54/B14-1</f>
        <v>0.573538370958942</v>
      </c>
      <c r="E54" s="102" t="n">
        <f aca="false">C54-DCF!$B$53</f>
        <v>0.325019959212215</v>
      </c>
    </row>
    <row r="55" customFormat="false" ht="15" hidden="false" customHeight="true" outlineLevel="0" collapsed="false">
      <c r="A55" s="10" t="n">
        <v>376</v>
      </c>
      <c r="B55" s="50" t="n">
        <f aca="false">A55/300*1000</f>
        <v>1253.33333333333</v>
      </c>
      <c r="C55" s="67" t="n">
        <f aca="false">(((B5+(($A55-'Revenue Model'!F96)*0.85)/(1+$B$15)^1+(($A55-'Revenue Model'!G96)*0.85)/(1+$B$15)^2+(($A55-'Revenue Model'!H96)*0.85)/(1+$B$15)^3+(($A55-'Revenue Model'!I96)*0.85)/(1+$B$15)^4)+(((B6+($A55-'Revenue Model'!I96)*0.85)-$B$16*B8)*(1+$B$16)/($B$15-$B$16))/(1+$B$15)^4)-B10-B11)/B12/B13</f>
        <v>1.5266134379084</v>
      </c>
      <c r="D55" s="14" t="n">
        <f aca="false">C55/B14-1</f>
        <v>0.738739678711162</v>
      </c>
      <c r="E55" s="102" t="n">
        <f aca="false">C55-DCF!$B$53</f>
        <v>0.470066707418664</v>
      </c>
    </row>
    <row r="56" customFormat="false" ht="15" hidden="false" customHeight="true" outlineLevel="0" collapsed="false">
      <c r="A56" s="10" t="n">
        <v>440</v>
      </c>
      <c r="B56" s="50" t="n">
        <f aca="false">A56/300*1000</f>
        <v>1466.66666666667</v>
      </c>
      <c r="C56" s="67" t="n">
        <f aca="false">(((B5+(($A56-'Revenue Model'!F96)*0.85)/(1+$B$15)^1+(($A56-'Revenue Model'!G96)*0.85)/(1+$B$15)^2+(($A56-'Revenue Model'!H96)*0.85)/(1+$B$15)^3+(($A56-'Revenue Model'!I96)*0.85)/(1+$B$15)^4)+(((B6+($A56-'Revenue Model'!I96)*0.85)-$B$16*B8)*(1+$B$16)/($B$15-$B$16))/(1+$B$15)^4)-B10-B11)/B12/B13</f>
        <v>1.64875806797699</v>
      </c>
      <c r="D56" s="14" t="n">
        <f aca="false">C56/B14-1</f>
        <v>0.877856569449874</v>
      </c>
      <c r="E56" s="102" t="n">
        <f aca="false">C56-DCF!$B$53</f>
        <v>0.592211337487253</v>
      </c>
    </row>
    <row r="57" customFormat="false" ht="15" hidden="false" customHeight="true" outlineLevel="0" collapsed="false">
      <c r="A57" s="10" t="n">
        <v>550</v>
      </c>
      <c r="B57" s="50" t="n">
        <f aca="false">A57/300*1000</f>
        <v>1833.33333333333</v>
      </c>
      <c r="C57" s="67" t="n">
        <f aca="false">(((B5+(($A57-'Revenue Model'!F96)*0.85)/(1+$B$15)^1+(($A57-'Revenue Model'!G96)*0.85)/(1+$B$15)^2+(($A57-'Revenue Model'!H96)*0.85)/(1+$B$15)^3+(($A57-'Revenue Model'!I96)*0.85)/(1+$B$15)^4)+(((B6+($A57-'Revenue Model'!I96)*0.85)-$B$16*B8)*(1+$B$16)/($B$15-$B$16))/(1+$B$15)^4)-B10-B11)/B12/B13</f>
        <v>1.85869415090738</v>
      </c>
      <c r="D57" s="14" t="n">
        <f aca="false">C57/B14-1</f>
        <v>1.11696372540703</v>
      </c>
      <c r="E57" s="102" t="n">
        <f aca="false">C57-DCF!$B$53</f>
        <v>0.80214742041764</v>
      </c>
    </row>
    <row r="59" customFormat="false" ht="15" hidden="false" customHeight="true" outlineLevel="0" collapsed="false">
      <c r="A59" s="3" t="s">
        <v>674</v>
      </c>
    </row>
    <row r="60" customFormat="false" ht="15" hidden="false" customHeight="true" outlineLevel="0" collapsed="false">
      <c r="A60" s="3" t="s">
        <v>675</v>
      </c>
    </row>
    <row r="61" customFormat="false" ht="15" hidden="false" customHeight="true" outlineLevel="0" collapsed="false">
      <c r="A61" s="3" t="s">
        <v>676</v>
      </c>
    </row>
  </sheetData>
  <conditionalFormatting sqref="B22:F26">
    <cfRule type="colorScale" priority="2">
      <colorScale>
        <cfvo type="min" val="0"/>
        <cfvo type="percentile" val="50"/>
        <cfvo type="max" val="0"/>
        <color rgb="FFF8696B"/>
        <color rgb="FFFFEB84"/>
        <color rgb="FF63BE7B"/>
      </colorScale>
    </cfRule>
  </conditionalFormatting>
  <conditionalFormatting sqref="B31:G35">
    <cfRule type="colorScale" priority="3">
      <colorScale>
        <cfvo type="min" val="0"/>
        <cfvo type="percentile" val="50"/>
        <cfvo type="max" val="0"/>
        <color rgb="FFF8696B"/>
        <color rgb="FFFFEB84"/>
        <color rgb="FF63BE7B"/>
      </colorScale>
    </cfRule>
  </conditionalFormatting>
  <conditionalFormatting sqref="B40:F45">
    <cfRule type="colorScale" priority="4">
      <colorScale>
        <cfvo type="min" val="0"/>
        <cfvo type="percentile" val="50"/>
        <cfvo type="max" val="0"/>
        <color rgb="FFF8696B"/>
        <color rgb="FFFFEB84"/>
        <color rgb="FF63BE7B"/>
      </colorScale>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6B23"/>
    <pageSetUpPr fitToPage="false"/>
  </sheetPr>
  <dimension ref="A1:M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453125" defaultRowHeight="15" customHeight="false" zeroHeight="false" outlineLevelRow="0" outlineLevelCol="0"/>
  <cols>
    <col collapsed="false" customWidth="true" hidden="false" outlineLevel="0" max="1" min="1" style="1" width="52"/>
    <col collapsed="false" customWidth="true" hidden="false" outlineLevel="0" max="2" min="2" style="1" width="15"/>
    <col collapsed="false" customWidth="true" hidden="false" outlineLevel="0" max="3" min="3" style="1" width="14"/>
    <col collapsed="false" customWidth="true" hidden="false" outlineLevel="0" max="5" min="4" style="1" width="15"/>
    <col collapsed="false" customWidth="true" hidden="false" outlineLevel="0" max="6" min="6" style="1" width="13"/>
    <col collapsed="false" customWidth="true" hidden="false" outlineLevel="0" max="7" min="7" style="1" width="16"/>
    <col collapsed="false" customWidth="true" hidden="false" outlineLevel="0" max="8" min="8" style="1" width="14"/>
    <col collapsed="false" customWidth="true" hidden="false" outlineLevel="0" max="9" min="9" style="1" width="12"/>
    <col collapsed="false" customWidth="true" hidden="false" outlineLevel="0" max="11" min="10" style="1" width="14"/>
    <col collapsed="false" customWidth="true" hidden="false" outlineLevel="0" max="13" min="12" style="1" width="13"/>
  </cols>
  <sheetData>
    <row r="1" customFormat="false" ht="15.75" hidden="false" customHeight="true" outlineLevel="0" collapsed="false">
      <c r="A1" s="2" t="s">
        <v>677</v>
      </c>
    </row>
    <row r="2" customFormat="false" ht="15" hidden="false" customHeight="true" outlineLevel="0" collapsed="false">
      <c r="A2" s="114" t="s">
        <v>678</v>
      </c>
    </row>
    <row r="4" customFormat="false" ht="15" hidden="false" customHeight="true" outlineLevel="0" collapsed="false">
      <c r="A4" s="6" t="s">
        <v>679</v>
      </c>
      <c r="B4" s="6"/>
      <c r="C4" s="6"/>
      <c r="D4" s="6"/>
      <c r="E4" s="6"/>
      <c r="F4" s="6"/>
      <c r="G4" s="6"/>
      <c r="H4" s="6"/>
      <c r="I4" s="6"/>
      <c r="J4" s="6"/>
      <c r="K4" s="6"/>
      <c r="L4" s="6"/>
      <c r="M4" s="6"/>
    </row>
    <row r="5" customFormat="false" ht="15" hidden="false" customHeight="true" outlineLevel="0" collapsed="false">
      <c r="A5" s="3" t="s">
        <v>680</v>
      </c>
    </row>
    <row r="6" customFormat="false" ht="31.5" hidden="false" customHeight="true" outlineLevel="0" collapsed="false">
      <c r="A6" s="115" t="s">
        <v>681</v>
      </c>
      <c r="B6" s="115" t="s">
        <v>682</v>
      </c>
      <c r="C6" s="115" t="s">
        <v>683</v>
      </c>
      <c r="D6" s="115" t="s">
        <v>684</v>
      </c>
      <c r="E6" s="115" t="s">
        <v>685</v>
      </c>
      <c r="F6" s="115" t="s">
        <v>686</v>
      </c>
      <c r="G6" s="115" t="s">
        <v>687</v>
      </c>
      <c r="H6" s="115" t="s">
        <v>688</v>
      </c>
      <c r="I6" s="115" t="s">
        <v>689</v>
      </c>
      <c r="J6" s="115" t="s">
        <v>690</v>
      </c>
      <c r="K6" s="124" t="s">
        <v>691</v>
      </c>
      <c r="L6" s="115" t="s">
        <v>692</v>
      </c>
      <c r="M6" s="115" t="s">
        <v>693</v>
      </c>
    </row>
    <row r="7" customFormat="false" ht="15" hidden="false" customHeight="true" outlineLevel="0" collapsed="false">
      <c r="A7" s="19" t="s">
        <v>694</v>
      </c>
      <c r="B7" s="125" t="s">
        <v>695</v>
      </c>
      <c r="C7" s="125" t="s">
        <v>696</v>
      </c>
      <c r="D7" s="37" t="n">
        <v>13.51</v>
      </c>
      <c r="E7" s="37" t="n">
        <v>0.873</v>
      </c>
      <c r="F7" s="37" t="n">
        <v>14.38</v>
      </c>
      <c r="G7" s="37" t="n">
        <v>12.83</v>
      </c>
      <c r="H7" s="37" t="n">
        <v>1.984</v>
      </c>
      <c r="I7" s="24" t="n">
        <v>0.155</v>
      </c>
      <c r="J7" s="126" t="n">
        <v>7.25</v>
      </c>
      <c r="K7" s="111" t="n">
        <v>6.22</v>
      </c>
      <c r="L7" s="111" t="n">
        <v>10.61</v>
      </c>
      <c r="M7" s="111" t="n">
        <v>8.76</v>
      </c>
    </row>
    <row r="8" customFormat="false" ht="15" hidden="false" customHeight="true" outlineLevel="0" collapsed="false">
      <c r="A8" s="19" t="s">
        <v>697</v>
      </c>
      <c r="B8" s="125" t="s">
        <v>698</v>
      </c>
      <c r="C8" s="125" t="s">
        <v>696</v>
      </c>
      <c r="D8" s="37" t="n">
        <v>12.5</v>
      </c>
      <c r="E8" s="37" t="n">
        <v>3.41</v>
      </c>
      <c r="F8" s="37" t="n">
        <v>15.91</v>
      </c>
      <c r="G8" s="37" t="n">
        <v>8.71</v>
      </c>
      <c r="H8" s="37" t="n">
        <v>2.53</v>
      </c>
      <c r="I8" s="24" t="n">
        <v>0.29</v>
      </c>
      <c r="J8" s="126" t="n">
        <v>6.29</v>
      </c>
    </row>
    <row r="9" customFormat="false" ht="15" hidden="false" customHeight="true" outlineLevel="0" collapsed="false">
      <c r="A9" s="19" t="s">
        <v>699</v>
      </c>
      <c r="B9" s="125" t="s">
        <v>700</v>
      </c>
      <c r="C9" s="125" t="s">
        <v>696</v>
      </c>
      <c r="D9" s="37" t="n">
        <v>19.39</v>
      </c>
      <c r="E9" s="37" t="n">
        <v>1.04</v>
      </c>
      <c r="F9" s="37" t="n">
        <v>20.43</v>
      </c>
      <c r="G9" s="37" t="n">
        <v>22.3</v>
      </c>
      <c r="H9" s="37" t="n">
        <v>3.1</v>
      </c>
      <c r="I9" s="24" t="n">
        <v>0.139</v>
      </c>
      <c r="J9" s="126" t="n">
        <v>6.59</v>
      </c>
      <c r="K9" s="111" t="n">
        <v>3.92</v>
      </c>
      <c r="L9" s="111" t="n">
        <v>18.53</v>
      </c>
      <c r="M9" s="111" t="n">
        <v>9.59</v>
      </c>
    </row>
    <row r="10" customFormat="false" ht="15" hidden="false" customHeight="true" outlineLevel="0" collapsed="false">
      <c r="A10" s="19" t="s">
        <v>701</v>
      </c>
      <c r="B10" s="125" t="s">
        <v>702</v>
      </c>
      <c r="C10" s="125" t="s">
        <v>696</v>
      </c>
      <c r="D10" s="37" t="n">
        <v>4.54</v>
      </c>
      <c r="E10" s="37" t="n">
        <v>0.137</v>
      </c>
      <c r="F10" s="37" t="n">
        <v>4.68</v>
      </c>
      <c r="G10" s="37" t="n">
        <v>2.53</v>
      </c>
      <c r="H10" s="37" t="n">
        <v>0.425</v>
      </c>
      <c r="I10" s="24" t="n">
        <v>0.168</v>
      </c>
      <c r="J10" s="126" t="n">
        <v>11.01</v>
      </c>
      <c r="K10" s="111" t="n">
        <v>9.77</v>
      </c>
      <c r="L10" s="111" t="n">
        <v>7.62</v>
      </c>
      <c r="M10" s="111" t="n">
        <v>3.39</v>
      </c>
    </row>
    <row r="11" customFormat="false" ht="15" hidden="false" customHeight="true" outlineLevel="0" collapsed="false">
      <c r="A11" s="19" t="s">
        <v>703</v>
      </c>
      <c r="B11" s="125" t="s">
        <v>704</v>
      </c>
      <c r="C11" s="125" t="s">
        <v>696</v>
      </c>
      <c r="D11" s="37" t="n">
        <v>11.51</v>
      </c>
      <c r="E11" s="37" t="n">
        <v>5.57</v>
      </c>
      <c r="F11" s="37" t="n">
        <v>17.08</v>
      </c>
      <c r="G11" s="37" t="n">
        <v>18.22</v>
      </c>
      <c r="H11" s="37" t="n">
        <v>5.86</v>
      </c>
      <c r="I11" s="24" t="n">
        <v>0.322</v>
      </c>
      <c r="J11" s="126" t="n">
        <v>2.91</v>
      </c>
      <c r="K11" s="111" t="n">
        <v>4.59</v>
      </c>
      <c r="L11" s="111" t="n">
        <v>16.26</v>
      </c>
      <c r="M11" s="111" t="n">
        <v>8.55</v>
      </c>
    </row>
    <row r="12" customFormat="false" ht="15" hidden="false" customHeight="true" outlineLevel="0" collapsed="false">
      <c r="A12" s="19" t="s">
        <v>705</v>
      </c>
      <c r="B12" s="125" t="s">
        <v>706</v>
      </c>
      <c r="C12" s="125" t="s">
        <v>696</v>
      </c>
      <c r="D12" s="37" t="n">
        <v>23.22</v>
      </c>
      <c r="E12" s="37" t="n">
        <v>5.28</v>
      </c>
      <c r="F12" s="37" t="n">
        <v>28.5</v>
      </c>
      <c r="G12" s="37" t="n">
        <v>35.88</v>
      </c>
      <c r="H12" s="37" t="n">
        <v>5.83</v>
      </c>
      <c r="I12" s="24" t="n">
        <v>0.163</v>
      </c>
      <c r="J12" s="126" t="n">
        <v>4.89</v>
      </c>
      <c r="K12" s="111" t="n">
        <v>4.13</v>
      </c>
      <c r="L12" s="111" t="n">
        <v>7.18</v>
      </c>
      <c r="M12" s="111" t="n">
        <v>6.04</v>
      </c>
    </row>
    <row r="13" customFormat="false" ht="15" hidden="false" customHeight="true" outlineLevel="0" collapsed="false">
      <c r="A13" s="19" t="s">
        <v>707</v>
      </c>
      <c r="B13" s="125" t="s">
        <v>708</v>
      </c>
      <c r="C13" s="125" t="s">
        <v>696</v>
      </c>
      <c r="D13" s="37" t="n">
        <v>28.98</v>
      </c>
      <c r="E13" s="37" t="n">
        <v>3.18</v>
      </c>
      <c r="F13" s="37" t="n">
        <v>32.16</v>
      </c>
      <c r="G13" s="37" t="n">
        <v>24.16</v>
      </c>
      <c r="H13" s="37" t="n">
        <v>7.05</v>
      </c>
      <c r="I13" s="24" t="n">
        <v>0.29</v>
      </c>
      <c r="J13" s="126" t="n">
        <v>4.56</v>
      </c>
      <c r="K13" s="111" t="n">
        <v>4.59</v>
      </c>
      <c r="L13" s="111" t="n">
        <v>7.45</v>
      </c>
      <c r="M13" s="111" t="n">
        <v>5.94</v>
      </c>
    </row>
    <row r="14" customFormat="false" ht="15" hidden="false" customHeight="true" outlineLevel="0" collapsed="false">
      <c r="A14" s="19" t="s">
        <v>709</v>
      </c>
      <c r="B14" s="125" t="s">
        <v>710</v>
      </c>
      <c r="C14" s="125" t="s">
        <v>696</v>
      </c>
      <c r="D14" s="37" t="n">
        <v>16.38</v>
      </c>
      <c r="E14" s="37" t="n">
        <v>0.42</v>
      </c>
      <c r="F14" s="37" t="n">
        <v>16.8</v>
      </c>
      <c r="G14" s="37" t="n">
        <v>4.02</v>
      </c>
      <c r="H14" s="37" t="n">
        <v>0.84</v>
      </c>
      <c r="I14" s="24" t="n">
        <v>0.209</v>
      </c>
      <c r="J14" s="126" t="n">
        <v>20</v>
      </c>
      <c r="K14" s="111" t="n">
        <v>15.45</v>
      </c>
      <c r="L14" s="111" t="n">
        <v>25.59</v>
      </c>
      <c r="M14" s="111" t="n">
        <v>26.12</v>
      </c>
    </row>
    <row r="15" customFormat="false" ht="15" hidden="false" customHeight="true" outlineLevel="0" collapsed="false">
      <c r="A15" s="9" t="s">
        <v>711</v>
      </c>
      <c r="B15" s="125" t="s">
        <v>712</v>
      </c>
      <c r="C15" s="125" t="s">
        <v>713</v>
      </c>
      <c r="D15" s="37" t="n">
        <v>23.75</v>
      </c>
      <c r="E15" s="37" t="n">
        <v>7.3</v>
      </c>
      <c r="F15" s="37" t="n">
        <v>31.05</v>
      </c>
      <c r="G15" s="37" t="n">
        <v>28.78</v>
      </c>
      <c r="H15" s="37" t="n">
        <v>3.99</v>
      </c>
      <c r="I15" s="24" t="n">
        <v>0.139</v>
      </c>
      <c r="J15" s="126" t="n">
        <v>7.78</v>
      </c>
      <c r="K15" s="111" t="n">
        <v>7.34</v>
      </c>
      <c r="L15" s="111" t="n">
        <v>13.86</v>
      </c>
      <c r="M15" s="111" t="n">
        <v>9.03</v>
      </c>
    </row>
    <row r="16" customFormat="false" ht="15" hidden="false" customHeight="true" outlineLevel="0" collapsed="false">
      <c r="A16" s="9" t="s">
        <v>714</v>
      </c>
      <c r="B16" s="125" t="s">
        <v>715</v>
      </c>
      <c r="C16" s="125" t="s">
        <v>713</v>
      </c>
      <c r="D16" s="37" t="n">
        <v>178.83</v>
      </c>
      <c r="E16" s="37" t="n">
        <v>14.36</v>
      </c>
      <c r="F16" s="37" t="n">
        <v>193.19</v>
      </c>
      <c r="G16" s="37" t="n">
        <v>57.64</v>
      </c>
      <c r="H16" s="37" t="n">
        <v>25.363</v>
      </c>
      <c r="I16" s="24" t="n">
        <v>0.44</v>
      </c>
      <c r="J16" s="126" t="n">
        <v>7.62</v>
      </c>
      <c r="K16" s="111" t="n">
        <v>8.68</v>
      </c>
      <c r="L16" s="111" t="n">
        <v>14.78</v>
      </c>
      <c r="M16" s="111" t="n">
        <v>12.89</v>
      </c>
    </row>
    <row r="17" customFormat="false" ht="15" hidden="false" customHeight="true" outlineLevel="0" collapsed="false">
      <c r="A17" s="9" t="s">
        <v>716</v>
      </c>
      <c r="B17" s="125" t="s">
        <v>717</v>
      </c>
      <c r="C17" s="125" t="s">
        <v>713</v>
      </c>
      <c r="D17" s="37" t="n">
        <v>16.79</v>
      </c>
      <c r="E17" s="37" t="n">
        <v>-0.283</v>
      </c>
      <c r="F17" s="37" t="n">
        <v>16.51</v>
      </c>
      <c r="G17" s="37" t="n">
        <v>5.82</v>
      </c>
      <c r="H17" s="37" t="n">
        <v>2.462</v>
      </c>
      <c r="I17" s="24" t="n">
        <v>0.31</v>
      </c>
      <c r="J17" s="126" t="n">
        <v>6.71</v>
      </c>
      <c r="K17" s="111" t="n">
        <v>12.9</v>
      </c>
      <c r="L17" s="111" t="n">
        <v>15.34</v>
      </c>
      <c r="M17" s="111" t="n">
        <v>17.02</v>
      </c>
    </row>
    <row r="18" customFormat="false" ht="15" hidden="false" customHeight="true" outlineLevel="0" collapsed="false">
      <c r="A18" s="9" t="s">
        <v>718</v>
      </c>
      <c r="B18" s="125" t="s">
        <v>719</v>
      </c>
      <c r="C18" s="125" t="s">
        <v>713</v>
      </c>
      <c r="D18" s="37" t="n">
        <v>72.15</v>
      </c>
      <c r="E18" s="37" t="n">
        <v>5.59</v>
      </c>
      <c r="F18" s="37" t="n">
        <v>77.74</v>
      </c>
      <c r="G18" s="37" t="n">
        <v>10.29</v>
      </c>
      <c r="H18" s="37" t="n">
        <v>4.3</v>
      </c>
      <c r="I18" s="24" t="n">
        <v>0.417</v>
      </c>
      <c r="J18" s="126" t="n">
        <v>18.08</v>
      </c>
      <c r="K18" s="111" t="n">
        <v>20.59</v>
      </c>
      <c r="L18" s="111" t="n">
        <v>35.2</v>
      </c>
      <c r="M18" s="111" t="n">
        <v>27.04</v>
      </c>
    </row>
    <row r="19" customFormat="false" ht="15" hidden="false" customHeight="true" outlineLevel="0" collapsed="false">
      <c r="A19" s="9" t="s">
        <v>720</v>
      </c>
      <c r="B19" s="125" t="s">
        <v>721</v>
      </c>
      <c r="C19" s="125" t="s">
        <v>713</v>
      </c>
      <c r="D19" s="37" t="n">
        <v>40.08</v>
      </c>
      <c r="E19" s="37" t="n">
        <v>-0.96</v>
      </c>
      <c r="F19" s="37" t="n">
        <v>39.12</v>
      </c>
      <c r="G19" s="37" t="n">
        <v>31.07</v>
      </c>
      <c r="H19" s="37" t="n">
        <v>4.77</v>
      </c>
      <c r="I19" s="24" t="n">
        <v>0.153</v>
      </c>
      <c r="J19" s="126" t="n">
        <v>8.2</v>
      </c>
      <c r="K19" s="111" t="n">
        <v>11.84</v>
      </c>
      <c r="M19" s="111" t="n">
        <v>37.93</v>
      </c>
    </row>
    <row r="21" customFormat="false" ht="15" hidden="false" customHeight="true" outlineLevel="0" collapsed="false">
      <c r="A21" s="6" t="s">
        <v>722</v>
      </c>
      <c r="B21" s="6"/>
      <c r="C21" s="6"/>
      <c r="D21" s="6"/>
      <c r="E21" s="6"/>
      <c r="F21" s="6"/>
      <c r="G21" s="6"/>
      <c r="H21" s="6"/>
      <c r="I21" s="6"/>
      <c r="J21" s="6"/>
      <c r="K21" s="6"/>
      <c r="L21" s="6"/>
      <c r="M21" s="6"/>
    </row>
    <row r="22" customFormat="false" ht="31.5" hidden="false" customHeight="true" outlineLevel="0" collapsed="false">
      <c r="A22" s="115" t="s">
        <v>723</v>
      </c>
      <c r="B22" s="115"/>
      <c r="C22" s="115"/>
      <c r="D22" s="115"/>
      <c r="E22" s="115"/>
      <c r="F22" s="115"/>
      <c r="G22" s="115"/>
      <c r="H22" s="115"/>
      <c r="I22" s="115"/>
      <c r="J22" s="115" t="s">
        <v>690</v>
      </c>
      <c r="K22" s="115" t="s">
        <v>724</v>
      </c>
      <c r="L22" s="115" t="s">
        <v>692</v>
      </c>
      <c r="M22" s="115" t="s">
        <v>693</v>
      </c>
    </row>
    <row r="23" customFormat="false" ht="15" hidden="false" customHeight="true" outlineLevel="0" collapsed="false">
      <c r="A23" s="9" t="s">
        <v>725</v>
      </c>
      <c r="J23" s="111" t="n">
        <v>20</v>
      </c>
      <c r="K23" s="111" t="n">
        <v>15.45</v>
      </c>
      <c r="L23" s="111" t="n">
        <v>25.59</v>
      </c>
      <c r="M23" s="111" t="n">
        <v>26.12</v>
      </c>
    </row>
    <row r="24" customFormat="false" ht="15" hidden="false" customHeight="true" outlineLevel="0" collapsed="false">
      <c r="A24" s="9" t="s">
        <v>726</v>
      </c>
      <c r="J24" s="111" t="n">
        <v>9.13</v>
      </c>
      <c r="K24" s="111" t="n">
        <v>7.99</v>
      </c>
      <c r="L24" s="111" t="n">
        <v>17.4</v>
      </c>
      <c r="M24" s="111" t="n">
        <v>9.18</v>
      </c>
    </row>
    <row r="25" customFormat="false" ht="15" hidden="false" customHeight="true" outlineLevel="0" collapsed="false">
      <c r="A25" s="19" t="s">
        <v>727</v>
      </c>
      <c r="J25" s="126" t="n">
        <v>6.59</v>
      </c>
      <c r="K25" s="126" t="n">
        <v>4.59</v>
      </c>
      <c r="L25" s="126" t="n">
        <v>10.61</v>
      </c>
      <c r="M25" s="126" t="n">
        <v>8.55</v>
      </c>
    </row>
    <row r="26" customFormat="false" ht="15" hidden="false" customHeight="true" outlineLevel="0" collapsed="false">
      <c r="A26" s="9" t="s">
        <v>728</v>
      </c>
      <c r="J26" s="111" t="n">
        <v>4.72</v>
      </c>
      <c r="K26" s="111" t="n">
        <v>4.36</v>
      </c>
      <c r="L26" s="111" t="n">
        <v>7.54</v>
      </c>
      <c r="M26" s="111" t="n">
        <v>5.99</v>
      </c>
    </row>
    <row r="27" customFormat="false" ht="15" hidden="false" customHeight="true" outlineLevel="0" collapsed="false">
      <c r="A27" s="9" t="s">
        <v>729</v>
      </c>
      <c r="J27" s="111" t="n">
        <v>2.91</v>
      </c>
      <c r="K27" s="111" t="n">
        <v>3.92</v>
      </c>
      <c r="L27" s="111" t="n">
        <v>7.18</v>
      </c>
      <c r="M27" s="111" t="n">
        <v>3.39</v>
      </c>
    </row>
    <row r="28" customFormat="false" ht="15" hidden="false" customHeight="true" outlineLevel="0" collapsed="false">
      <c r="A28" s="9" t="s">
        <v>730</v>
      </c>
      <c r="J28" s="111" t="n">
        <v>7.44</v>
      </c>
      <c r="K28" s="111" t="n">
        <v>8.01</v>
      </c>
      <c r="L28" s="111" t="n">
        <v>14.78</v>
      </c>
      <c r="M28" s="111" t="n">
        <v>9.31</v>
      </c>
    </row>
    <row r="29" customFormat="false" ht="171.75" hidden="false" customHeight="true" outlineLevel="0" collapsed="false">
      <c r="A29" s="19" t="s">
        <v>731</v>
      </c>
      <c r="J29" s="126" t="n">
        <v>6.8</v>
      </c>
      <c r="K29" s="116" t="s">
        <v>732</v>
      </c>
    </row>
    <row r="30" customFormat="false" ht="95.25" hidden="false" customHeight="true" outlineLevel="0" collapsed="false">
      <c r="A30" s="9" t="s">
        <v>733</v>
      </c>
      <c r="J30" s="111" t="n">
        <v>5.3</v>
      </c>
      <c r="K30" s="127" t="s">
        <v>734</v>
      </c>
    </row>
    <row r="31" customFormat="false" ht="15" hidden="false" customHeight="true" outlineLevel="0" collapsed="false">
      <c r="A31" s="9" t="s">
        <v>735</v>
      </c>
      <c r="J31" s="126" t="n">
        <v>3.59</v>
      </c>
      <c r="L31" s="126" t="n">
        <v>3.94</v>
      </c>
    </row>
    <row r="32" customFormat="false" ht="223" hidden="false" customHeight="false" outlineLevel="0" collapsed="false">
      <c r="A32" s="128" t="s">
        <v>736</v>
      </c>
      <c r="J32" s="111" t="n">
        <v>6.2</v>
      </c>
      <c r="K32" s="116" t="s">
        <v>737</v>
      </c>
    </row>
    <row r="33" customFormat="false" ht="15" hidden="false" customHeight="true" outlineLevel="0" collapsed="false">
      <c r="A33" s="6" t="s">
        <v>738</v>
      </c>
      <c r="B33" s="6"/>
      <c r="C33" s="6"/>
      <c r="D33" s="6"/>
      <c r="E33" s="6"/>
      <c r="F33" s="6"/>
      <c r="G33" s="6"/>
      <c r="H33" s="6"/>
      <c r="I33" s="6"/>
      <c r="J33" s="6"/>
      <c r="K33" s="6"/>
      <c r="L33" s="6"/>
      <c r="M33" s="6"/>
    </row>
    <row r="34" customFormat="false" ht="15" hidden="false" customHeight="true" outlineLevel="0" collapsed="false">
      <c r="A34" s="3" t="s">
        <v>739</v>
      </c>
    </row>
    <row r="35" customFormat="false" ht="15" hidden="false" customHeight="true" outlineLevel="0" collapsed="false">
      <c r="A35" s="19" t="s">
        <v>740</v>
      </c>
      <c r="J35" s="126" t="n">
        <v>6.6</v>
      </c>
    </row>
    <row r="36" customFormat="false" ht="15" hidden="false" customHeight="true" outlineLevel="0" collapsed="false">
      <c r="A36" s="9" t="s">
        <v>741</v>
      </c>
      <c r="J36" s="24" t="n">
        <v>-0.15</v>
      </c>
    </row>
    <row r="37" customFormat="false" ht="15" hidden="false" customHeight="true" outlineLevel="0" collapsed="false">
      <c r="A37" s="9" t="s">
        <v>742</v>
      </c>
      <c r="J37" s="24" t="n">
        <v>-0.1</v>
      </c>
    </row>
    <row r="38" customFormat="false" ht="15" hidden="false" customHeight="true" outlineLevel="0" collapsed="false">
      <c r="A38" s="9" t="s">
        <v>743</v>
      </c>
      <c r="J38" s="24" t="n">
        <v>-0.1</v>
      </c>
    </row>
    <row r="39" customFormat="false" ht="15" hidden="false" customHeight="true" outlineLevel="0" collapsed="false">
      <c r="A39" s="9" t="s">
        <v>744</v>
      </c>
      <c r="J39" s="24" t="n">
        <v>-0.1</v>
      </c>
    </row>
    <row r="40" customFormat="false" ht="15" hidden="false" customHeight="true" outlineLevel="0" collapsed="false">
      <c r="A40" s="9" t="s">
        <v>745</v>
      </c>
      <c r="J40" s="24" t="n">
        <v>0.1</v>
      </c>
    </row>
    <row r="41" customFormat="false" ht="15" hidden="false" customHeight="true" outlineLevel="0" collapsed="false">
      <c r="A41" s="9" t="s">
        <v>746</v>
      </c>
      <c r="J41" s="24" t="n">
        <v>0.05</v>
      </c>
    </row>
    <row r="42" customFormat="false" ht="15" hidden="false" customHeight="true" outlineLevel="0" collapsed="false">
      <c r="A42" s="19" t="s">
        <v>747</v>
      </c>
      <c r="J42" s="119" t="n">
        <f aca="false">SUM(J36:J41)</f>
        <v>-0.3</v>
      </c>
    </row>
    <row r="43" customFormat="false" ht="15" hidden="false" customHeight="true" outlineLevel="0" collapsed="false">
      <c r="A43" s="19" t="s">
        <v>748</v>
      </c>
      <c r="J43" s="129" t="n">
        <f aca="false">J35*(1+J42)</f>
        <v>4.62</v>
      </c>
    </row>
    <row r="45" customFormat="false" ht="31.5" hidden="false" customHeight="true" outlineLevel="0" collapsed="false">
      <c r="A45" s="115" t="s">
        <v>749</v>
      </c>
      <c r="B45" s="115" t="s">
        <v>161</v>
      </c>
      <c r="C45" s="115" t="s">
        <v>750</v>
      </c>
      <c r="D45" s="115" t="s">
        <v>751</v>
      </c>
      <c r="E45" s="115" t="s">
        <v>752</v>
      </c>
      <c r="F45" s="115" t="s">
        <v>753</v>
      </c>
      <c r="G45" s="115" t="s">
        <v>754</v>
      </c>
      <c r="H45" s="115" t="s">
        <v>671</v>
      </c>
      <c r="I45" s="115" t="s">
        <v>755</v>
      </c>
      <c r="J45" s="115"/>
      <c r="K45" s="115"/>
      <c r="L45" s="115"/>
      <c r="M45" s="115"/>
    </row>
    <row r="46" customFormat="false" ht="15" hidden="false" customHeight="true" outlineLevel="0" collapsed="false">
      <c r="A46" s="19" t="s">
        <v>756</v>
      </c>
      <c r="B46" s="60" t="n">
        <f aca="false">'Income Statement'!I27</f>
        <v>1263.59785120143</v>
      </c>
      <c r="C46" s="107" t="n">
        <f aca="false">$J$43</f>
        <v>4.62</v>
      </c>
      <c r="D46" s="26" t="n">
        <f aca="false">B46*C46</f>
        <v>5837.8220725506</v>
      </c>
      <c r="E46" s="60" t="n">
        <f aca="false">-'Balance Sheet'!E87</f>
        <v>-1759.22997105812</v>
      </c>
      <c r="F46" s="60" t="n">
        <f aca="false">-'Balance Sheet'!E30</f>
        <v>-119.526595775</v>
      </c>
      <c r="G46" s="26" t="n">
        <f aca="false">D46+E46+F46</f>
        <v>3959.06550571748</v>
      </c>
      <c r="H46" s="67" t="n">
        <f aca="false">G46/'DCF Inputs'!$B$38/'DCF Inputs'!$B$40</f>
        <v>1.05124163325429</v>
      </c>
      <c r="I46" s="14" t="n">
        <f aca="false">H46/DCF!$B$54-1</f>
        <v>0.197313933091444</v>
      </c>
    </row>
    <row r="47" customFormat="false" ht="15" hidden="false" customHeight="true" outlineLevel="0" collapsed="false">
      <c r="A47" s="9" t="s">
        <v>757</v>
      </c>
      <c r="B47" s="60" t="n">
        <f aca="false">'Income Statement'!I27</f>
        <v>1263.59785120143</v>
      </c>
      <c r="C47" s="107" t="n">
        <f aca="false">4</f>
        <v>4</v>
      </c>
      <c r="D47" s="26" t="n">
        <f aca="false">B47*C47</f>
        <v>5054.39140480572</v>
      </c>
      <c r="E47" s="60" t="n">
        <f aca="false">-'Balance Sheet'!E87</f>
        <v>-1759.22997105812</v>
      </c>
      <c r="F47" s="60" t="n">
        <f aca="false">-'Balance Sheet'!E30</f>
        <v>-119.526595775</v>
      </c>
      <c r="G47" s="26" t="n">
        <f aca="false">D47+E47+F47</f>
        <v>3175.63483797259</v>
      </c>
      <c r="H47" s="102" t="n">
        <f aca="false">G47/'DCF Inputs'!$B$38/'DCF Inputs'!$B$40</f>
        <v>0.84321907502375</v>
      </c>
      <c r="I47" s="14" t="n">
        <f aca="false">H47/DCF!$B$54-1</f>
        <v>-0.0396138097679389</v>
      </c>
    </row>
    <row r="48" customFormat="false" ht="15" hidden="false" customHeight="true" outlineLevel="0" collapsed="false">
      <c r="A48" s="9" t="s">
        <v>758</v>
      </c>
      <c r="B48" s="60" t="n">
        <f aca="false">'Income Statement'!I27</f>
        <v>1263.59785120143</v>
      </c>
      <c r="C48" s="107" t="n">
        <f aca="false">$J$35*0.85</f>
        <v>5.61</v>
      </c>
      <c r="D48" s="26" t="n">
        <f aca="false">B48*C48</f>
        <v>7088.78394524002</v>
      </c>
      <c r="E48" s="60" t="n">
        <f aca="false">-'Balance Sheet'!E87</f>
        <v>-1759.22997105812</v>
      </c>
      <c r="F48" s="60" t="n">
        <f aca="false">-'Balance Sheet'!E30</f>
        <v>-119.526595775</v>
      </c>
      <c r="G48" s="26" t="n">
        <f aca="false">D48+E48+F48</f>
        <v>5210.02737840689</v>
      </c>
      <c r="H48" s="102" t="n">
        <f aca="false">G48/'DCF Inputs'!$B$38/'DCF Inputs'!$B$40</f>
        <v>1.38340668591273</v>
      </c>
      <c r="I48" s="14" t="n">
        <f aca="false">H48/DCF!$B$54-1</f>
        <v>0.575634038624976</v>
      </c>
    </row>
    <row r="49" customFormat="false" ht="15" hidden="false" customHeight="true" outlineLevel="0" collapsed="false">
      <c r="A49" s="9" t="s">
        <v>759</v>
      </c>
      <c r="B49" s="60" t="n">
        <f aca="false">'Income Statement'!I27</f>
        <v>1263.59785120143</v>
      </c>
      <c r="C49" s="107" t="n">
        <f aca="false">$J$35</f>
        <v>6.6</v>
      </c>
      <c r="D49" s="26" t="n">
        <f aca="false">B49*C49</f>
        <v>8339.74581792943</v>
      </c>
      <c r="E49" s="60" t="n">
        <f aca="false">-'Balance Sheet'!E87</f>
        <v>-1759.22997105812</v>
      </c>
      <c r="F49" s="60" t="n">
        <f aca="false">-'Balance Sheet'!E30</f>
        <v>-119.526595775</v>
      </c>
      <c r="G49" s="26" t="n">
        <f aca="false">D49+E49+F49</f>
        <v>6460.98925109631</v>
      </c>
      <c r="H49" s="102" t="n">
        <f aca="false">G49/'DCF Inputs'!$B$38/'DCF Inputs'!$B$40</f>
        <v>1.71557173857117</v>
      </c>
      <c r="I49" s="14" t="n">
        <f aca="false">H49/DCF!$B$54-1</f>
        <v>0.953954144158508</v>
      </c>
    </row>
    <row r="51" customFormat="false" ht="15" hidden="false" customHeight="true" outlineLevel="0" collapsed="false">
      <c r="A51" s="6" t="s">
        <v>760</v>
      </c>
      <c r="B51" s="6"/>
      <c r="C51" s="6"/>
      <c r="D51" s="6"/>
      <c r="E51" s="6"/>
      <c r="F51" s="6"/>
      <c r="G51" s="6"/>
      <c r="H51" s="6"/>
      <c r="I51" s="6"/>
      <c r="J51" s="6"/>
      <c r="K51" s="6"/>
      <c r="L51" s="6"/>
      <c r="M51" s="6"/>
    </row>
    <row r="52" customFormat="false" ht="31.5" hidden="false" customHeight="true" outlineLevel="0" collapsed="false">
      <c r="A52" s="115" t="s">
        <v>761</v>
      </c>
      <c r="B52" s="115" t="s">
        <v>762</v>
      </c>
      <c r="C52" s="115" t="s">
        <v>763</v>
      </c>
      <c r="D52" s="115" t="s">
        <v>764</v>
      </c>
      <c r="E52" s="115" t="s">
        <v>765</v>
      </c>
      <c r="F52" s="115"/>
      <c r="G52" s="115"/>
      <c r="H52" s="115"/>
      <c r="I52" s="115"/>
      <c r="J52" s="115"/>
      <c r="K52" s="115"/>
      <c r="L52" s="115"/>
      <c r="M52" s="115"/>
    </row>
    <row r="53" customFormat="false" ht="15" hidden="false" customHeight="true" outlineLevel="0" collapsed="false">
      <c r="A53" s="9" t="s">
        <v>766</v>
      </c>
      <c r="B53" s="125" t="s">
        <v>767</v>
      </c>
      <c r="C53" s="125" t="s">
        <v>768</v>
      </c>
      <c r="D53" s="130" t="s">
        <v>769</v>
      </c>
      <c r="E53" s="131" t="s">
        <v>770</v>
      </c>
    </row>
    <row r="54" customFormat="false" ht="15" hidden="false" customHeight="true" outlineLevel="0" collapsed="false">
      <c r="A54" s="9" t="s">
        <v>771</v>
      </c>
      <c r="B54" s="125" t="s">
        <v>772</v>
      </c>
      <c r="C54" s="125" t="s">
        <v>773</v>
      </c>
      <c r="D54" s="130" t="s">
        <v>774</v>
      </c>
      <c r="E54" s="131" t="s">
        <v>775</v>
      </c>
    </row>
    <row r="55" customFormat="false" ht="15" hidden="false" customHeight="true" outlineLevel="0" collapsed="false">
      <c r="A55" s="9" t="s">
        <v>776</v>
      </c>
      <c r="B55" s="125" t="s">
        <v>777</v>
      </c>
      <c r="C55" s="125" t="s">
        <v>778</v>
      </c>
      <c r="D55" s="130" t="s">
        <v>779</v>
      </c>
      <c r="E55" s="131" t="s">
        <v>780</v>
      </c>
    </row>
    <row r="56" customFormat="false" ht="15" hidden="false" customHeight="true" outlineLevel="0" collapsed="false">
      <c r="A56" s="9" t="s">
        <v>781</v>
      </c>
      <c r="B56" s="125" t="s">
        <v>782</v>
      </c>
      <c r="C56" s="125" t="s">
        <v>783</v>
      </c>
      <c r="D56" s="130" t="s">
        <v>784</v>
      </c>
      <c r="E56" s="131" t="s">
        <v>785</v>
      </c>
    </row>
    <row r="57" customFormat="false" ht="15" hidden="false" customHeight="true" outlineLevel="0" collapsed="false">
      <c r="A57" s="9" t="s">
        <v>786</v>
      </c>
      <c r="B57" s="125" t="s">
        <v>787</v>
      </c>
      <c r="C57" s="125" t="s">
        <v>788</v>
      </c>
      <c r="D57" s="130" t="s">
        <v>789</v>
      </c>
      <c r="E57" s="131" t="s">
        <v>790</v>
      </c>
    </row>
    <row r="58" customFormat="false" ht="24" hidden="false" customHeight="true" outlineLevel="0" collapsed="false">
      <c r="A58" s="9" t="s">
        <v>791</v>
      </c>
      <c r="B58" s="125" t="s">
        <v>792</v>
      </c>
      <c r="C58" s="125" t="s">
        <v>793</v>
      </c>
      <c r="D58" s="130" t="s">
        <v>793</v>
      </c>
      <c r="E58" s="131" t="s">
        <v>794</v>
      </c>
    </row>
    <row r="59" customFormat="false" ht="15" hidden="false" customHeight="true" outlineLevel="0" collapsed="false">
      <c r="A59" s="9" t="s">
        <v>795</v>
      </c>
      <c r="B59" s="125" t="s">
        <v>796</v>
      </c>
      <c r="C59" s="125" t="s">
        <v>797</v>
      </c>
      <c r="D59" s="130" t="s">
        <v>798</v>
      </c>
      <c r="E59" s="131" t="s">
        <v>799</v>
      </c>
    </row>
    <row r="61" customFormat="false" ht="15" hidden="false" customHeight="true" outlineLevel="0" collapsed="false">
      <c r="A61" s="3" t="s">
        <v>800</v>
      </c>
    </row>
    <row r="62" customFormat="false" ht="15" hidden="false" customHeight="true" outlineLevel="0" collapsed="false">
      <c r="A62" s="3" t="s">
        <v>801</v>
      </c>
    </row>
    <row r="63" customFormat="false" ht="15" hidden="false" customHeight="true" outlineLevel="0" collapsed="false">
      <c r="A63" s="3" t="s">
        <v>802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2026-08-28T05:30:34Z</dcterms:created>
  <dc:creator>Al Ramz Investment Research</dc:creator>
  <dc:description>Six-tab financial model for Aluminium Bahrain B.S.C. (BHB: ALBH). Historicals FY2023A-FY2025A from the audited consolidated financial statements and H1 2026A from the reviewed interim statements. Projections FY2026E-FY2030E with bull, base and bear scenarios.</dc:description>
  <dc:language>en-IN</dc:language>
  <cp:lastModifiedBy/>
  <dcterms:modified xsi:type="dcterms:W3CDTF">2026-08-28T09:18:09Z</dcterms:modified>
  <cp:revision>0</cp:revision>
  <dc:subject>Initiating coverage, Task 2 financial model</dc:subject>
  <dc:title>Aluminium Bahrain B.S.C. (Alba) financial model</dc:title>
</cp:coreProperties>
</file>

<file path=docProps/custom.xml><?xml version="1.0" encoding="utf-8"?>
<Properties xmlns="http://schemas.openxmlformats.org/officeDocument/2006/custom-properties" xmlns:vt="http://schemas.openxmlformats.org/officeDocument/2006/docPropsVTypes"/>
</file>